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QnyygLnTY0Vi4yRi37EiM3Msf39n3iawG3t89LjlibKOJNU5/o9bfmCOl9SzaxXn3l7RtzFaKFyCjfP7PpGDA==" workbookSaltValue="bx3l2XIe9yDY67JXxBq73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BF9" i="8"/>
  <c r="I19" i="8"/>
  <c r="E13" i="17"/>
  <c r="T13" i="20"/>
  <c r="T13" i="16"/>
  <c r="AP13" i="16"/>
  <c r="T18" i="17"/>
  <c r="BG15" i="13"/>
  <c r="J20" i="20"/>
  <c r="AF20" i="20"/>
  <c r="M20" i="20"/>
  <c r="AG20" i="20"/>
  <c r="S20" i="20"/>
  <c r="K20" i="20"/>
  <c r="Z20" i="20"/>
  <c r="AM20" i="20"/>
  <c r="AK20" i="20"/>
  <c r="W20" i="21"/>
  <c r="F20" i="20"/>
  <c r="AR18" i="11" l="1"/>
  <c r="AN17" i="11"/>
  <c r="AJ19" i="8"/>
  <c r="AH13" i="16"/>
  <c r="H13" i="12"/>
  <c r="BG12" i="8"/>
  <c r="K12" i="7" s="1"/>
  <c r="T13" i="12"/>
  <c r="AA19" i="8"/>
  <c r="C19" i="3"/>
  <c r="M18" i="2"/>
  <c r="R8" i="9"/>
  <c r="S15" i="17" s="1"/>
  <c r="BG12" i="13"/>
  <c r="D17" i="6"/>
  <c r="BD15" i="8"/>
  <c r="G18" i="2"/>
  <c r="BA13" i="8"/>
  <c r="BF12" i="8"/>
  <c r="AY13" i="8"/>
  <c r="BE9" i="8"/>
  <c r="AC12" i="11"/>
  <c r="BD11" i="13"/>
  <c r="BB13" i="13"/>
  <c r="F11" i="16"/>
  <c r="BH12" i="16"/>
  <c r="BH11" i="11"/>
  <c r="BL15" i="11"/>
  <c r="S11" i="14"/>
  <c r="V11" i="14" s="1"/>
  <c r="BU17" i="17"/>
  <c r="BV15" i="16"/>
  <c r="AP16" i="20"/>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I12" i="12"/>
  <c r="J15" i="12"/>
  <c r="BH9" i="16"/>
  <c r="X12" i="21"/>
  <c r="BU9" i="17"/>
  <c r="BV9" i="16"/>
  <c r="P15" i="17"/>
  <c r="P18" i="17" s="1"/>
  <c r="P19" i="17" s="1"/>
  <c r="BJ10" i="11"/>
  <c r="S17" i="17"/>
  <c r="BV16" i="16"/>
  <c r="BW16" i="20"/>
  <c r="BV10" i="16"/>
  <c r="S12" i="14"/>
  <c r="V12" i="14" s="1"/>
  <c r="BF12" i="11"/>
  <c r="BK16" i="11"/>
  <c r="BM9" i="11"/>
  <c r="Q9" i="11" s="1"/>
  <c r="L15" i="2"/>
  <c r="V10" i="16"/>
  <c r="V9" i="16"/>
  <c r="BW15" i="20"/>
  <c r="BU16" i="17"/>
  <c r="S15" i="16"/>
  <c r="S18" i="16" s="1"/>
  <c r="BL10" i="11"/>
  <c r="BG16" i="11"/>
  <c r="BK10" i="11"/>
  <c r="BK13" i="11" s="1"/>
  <c r="X15" i="16"/>
  <c r="X18" i="16"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<sst xmlns="http://schemas.openxmlformats.org/spreadsheetml/2006/main" count="2094" uniqueCount="914">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</sst>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01ACsQuXZRlEKmHeU4jA6DTaO20P7pjGE/cQaN53vlm4MO686VSLZV5yjfV48yut4IqFa+pxPSRfQQjg9Cxlg==" saltValue="EZ2xNox/4wro5DRg0BnR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29</v>
      </c>
      <c r="D10" s="228">
        <f>IF(ISNUMBER(Datos!I10),Datos!I10," - ")</f>
        <v>29</v>
      </c>
      <c r="E10" s="229">
        <f>IF(ISNUMBER(Datos!J10),Datos!J10," - ")</f>
        <v>0</v>
      </c>
      <c r="F10" s="229">
        <f>IF(ISNUMBER(Datos!K10),Datos!K10," - ")</f>
        <v>14</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-0.48275862068965519</v>
      </c>
      <c r="L10" s="1028">
        <f>IF(ISNUMBER(NºAsuntos!I10/NºAsuntos!G10),(NºAsuntos!I10/NºAsuntos!G10)*11," - ")</f>
        <v>11.785714285714285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7.882985452245415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29</v>
      </c>
      <c r="D13" s="1052">
        <f>SUBTOTAL(9,D9:D12)</f>
        <v>29</v>
      </c>
      <c r="E13" s="1053">
        <f>SUBTOTAL(9,E9:E12)</f>
        <v>0</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950</v>
      </c>
      <c r="D16" s="228">
        <f>IF(ISNUMBER(IF(D_I="SI",Datos!I16,Datos!I16+Datos!AC16)),IF(D_I="SI",Datos!I16,Datos!I16+Datos!AC16)," - ")</f>
        <v>892</v>
      </c>
      <c r="E16" s="229">
        <f>IF(ISNUMBER(IF(D_I="SI",Datos!J16,Datos!J16+Datos!AD16)),IF(D_I="SI",Datos!J16,Datos!J16+Datos!AD16)," - ")</f>
        <v>3252</v>
      </c>
      <c r="F16" s="229">
        <f>IF(ISNUMBER(IF(D_I="SI",Datos!K16,Datos!K16+Datos!AE16)),IF(D_I="SI",Datos!K16,Datos!K16+Datos!AE16)," - ")</f>
        <v>3000</v>
      </c>
      <c r="G16" s="1037" t="str">
        <f>IF(Datos!E16&lt;&gt;"",Datos!E16,Datos!D16)</f>
        <v>04</v>
      </c>
      <c r="H16" s="230">
        <f>IF(ISNUMBER(IF(D_I="SI",Datos!L16,Datos!L16+Datos!AF16)),IF(D_I="SI",Datos!L16,Datos!L16+Datos!AF16)," - ")</f>
        <v>1202</v>
      </c>
      <c r="I16" s="1047" t="str">
        <f>IF(ISNUMBER(Datos!AS16/Datos!BM16),Datos!AS16/Datos!BM16," - ")</f>
        <v xml:space="preserve"> - </v>
      </c>
      <c r="J16" s="1048">
        <f>IF(ISNUMBER(Datos!BY16/Datos!CN16),Datos!BY16/Datos!CN16," - ")</f>
        <v>0</v>
      </c>
      <c r="K16" s="233">
        <f t="shared" si="3"/>
        <v>0.26526315789473687</v>
      </c>
      <c r="L16" s="1028">
        <f>IF(ISNUMBER(NºAsuntos!I16/NºAsuntos!G16),(NºAsuntos!I16/NºAsuntos!G16)*11," - ")</f>
        <v>4.4073333333333338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204</v>
      </c>
      <c r="D17" s="228">
        <f>IF(ISNUMBER(IF(D_I="SI",Datos!I17,Datos!I17+Datos!AC17)),IF(D_I="SI",Datos!I17,Datos!I17+Datos!AC17)," - ")</f>
        <v>172</v>
      </c>
      <c r="E17" s="229">
        <f>IF(ISNUMBER(IF(D_I="SI",Datos!J17,Datos!J17+Datos!AD17)),IF(D_I="SI",Datos!J17,Datos!J17+Datos!AD17)," - ")</f>
        <v>169</v>
      </c>
      <c r="F17" s="229">
        <f>IF(ISNUMBER(IF(D_I="SI",Datos!K17,Datos!K17+Datos!AE17)),IF(D_I="SI",Datos!K17,Datos!K17+Datos!AE17)," - ")</f>
        <v>228</v>
      </c>
      <c r="G17" s="1037" t="str">
        <f>IF(Datos!E17&lt;&gt;"",Datos!E17,Datos!D17)</f>
        <v>37</v>
      </c>
      <c r="H17" s="230">
        <f>IF(ISNUMBER(IF(D_I="SI",Datos!L17,Datos!L17+Datos!AF17)),IF(D_I="SI",Datos!L17,Datos!L17+Datos!AF17)," - ")</f>
        <v>145</v>
      </c>
      <c r="I17" s="1047" t="str">
        <f>IF(ISNUMBER(Datos!AS17/Datos!BM17),Datos!AS17/Datos!BM17," - ")</f>
        <v xml:space="preserve"> - </v>
      </c>
      <c r="J17" s="1048" t="str">
        <f>IF(ISNUMBER((Datos!BY17+Datos!BZ17)/Datos!CN17),(Datos!BY17+Datos!BZ17)/Datos!CN17," - ")</f>
        <v xml:space="preserve"> - </v>
      </c>
      <c r="K17" s="233">
        <f t="shared" si="3"/>
        <v>-0.28921568627450983</v>
      </c>
      <c r="L17" s="1028">
        <f>IF(ISNUMBER(NºAsuntos!I17/NºAsuntos!G17),(NºAsuntos!I17/NºAsuntos!G17)*11," - ")</f>
        <v>6.9956140350877192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1154</v>
      </c>
      <c r="D18" s="1052">
        <f>SUBTOTAL(9,D15:D17)</f>
        <v>1064</v>
      </c>
      <c r="E18" s="1053">
        <f>SUBTOTAL(9,E15:E17)</f>
        <v>3421</v>
      </c>
      <c r="F18" s="1053">
        <f>SUBTOTAL(9,F15:F17)</f>
        <v>3228</v>
      </c>
      <c r="G18" s="1055" t="str">
        <f ca="1">INDIRECT(CONCATENATE("G",ROW()-1))</f>
        <v>37</v>
      </c>
      <c r="H18" s="1056">
        <f ca="1">SUMIF(G$14:G17,G18,H$14:H17)</f>
        <v>145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1183</v>
      </c>
      <c r="D19" s="1074">
        <f>SUBTOTAL(9,D9:D18)</f>
        <v>1093</v>
      </c>
      <c r="E19" s="1075">
        <f>SUBTOTAL(9,E9:E18)</f>
        <v>3421</v>
      </c>
      <c r="F19" s="1075">
        <f>SUBTOTAL(9,F9:F18)</f>
        <v>3242</v>
      </c>
      <c r="G19" s="1076"/>
      <c r="H19" s="1077">
        <f ca="1">SUMIF(B9:B18,"TOTAL",H9:H18)</f>
        <v>145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pS31O3TLHpQAnOsEoWMyo2aotVKRKNeVw/jDr3rDKov5MjDZCL9Vd08AS1qLyRY65WSQsgL8ZnUJPCgdNDYZw==" saltValue="83Rjcul5mr3n879fJJGJ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SukNOXwcL8mVq7+tLuXPSPNvdkeMWm9uDxnnYlUGcaNYz817Lo36ig7I7R4WQ5NcrczTQ9XJy/hfr810GqEwA==" saltValue="PvqzAeYs2TPP7wMAQwAJ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29</v>
      </c>
      <c r="J10" s="184">
        <v>0</v>
      </c>
      <c r="K10" s="184">
        <v>14</v>
      </c>
      <c r="L10" s="184">
        <v>15</v>
      </c>
      <c r="M10" s="184">
        <v>0</v>
      </c>
      <c r="N10" s="184">
        <v>0</v>
      </c>
      <c r="O10" s="184">
        <v>0</v>
      </c>
      <c r="P10" s="184">
        <v>3</v>
      </c>
      <c r="Q10" s="184">
        <v>2</v>
      </c>
      <c r="R10" s="184">
        <v>89</v>
      </c>
      <c r="S10" s="184">
        <v>29</v>
      </c>
      <c r="T10" s="184">
        <v>54</v>
      </c>
      <c r="U10" s="184">
        <v>54</v>
      </c>
      <c r="V10" s="184">
        <v>29</v>
      </c>
      <c r="W10" s="184">
        <v>20</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29</v>
      </c>
      <c r="AZ10" s="129">
        <f t="shared" si="0"/>
        <v>54</v>
      </c>
      <c r="BA10" s="129">
        <f t="shared" si="0"/>
        <v>54</v>
      </c>
      <c r="BB10" s="129">
        <f t="shared" si="0"/>
        <v>29</v>
      </c>
      <c r="BC10" s="125">
        <f t="shared" si="0"/>
        <v>20</v>
      </c>
      <c r="BD10" s="126">
        <f>IF(ISNUMBER(BA10/AZ10),BA10/AZ10," - ")</f>
        <v>1</v>
      </c>
      <c r="BE10" s="127">
        <f>IF(ISNUMBER(BB10/BA10),BB10/BA10, " - ")</f>
        <v>0.53703703703703709</v>
      </c>
      <c r="BF10" s="127">
        <f>IF(ISNUMBER(BC10/BA10),BC10/BA10, " - ")</f>
        <v>0.37037037037037035</v>
      </c>
      <c r="BG10" s="199">
        <f>IF(ISNUMBER((AY10+AZ10)/BA10),(AY10+AZ10)/BA10," - ")</f>
        <v>1.537037037037037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3166</v>
      </c>
      <c r="J12" s="186">
        <v>4499</v>
      </c>
      <c r="K12" s="186">
        <v>4350</v>
      </c>
      <c r="L12" s="186">
        <v>3256</v>
      </c>
      <c r="M12" s="186">
        <v>1046</v>
      </c>
      <c r="N12" s="186">
        <v>2140</v>
      </c>
      <c r="O12" s="184">
        <v>2079</v>
      </c>
      <c r="P12" s="186">
        <v>1345</v>
      </c>
      <c r="Q12" s="186">
        <v>796</v>
      </c>
      <c r="R12" s="186">
        <v>5359</v>
      </c>
      <c r="S12" s="186">
        <v>3128</v>
      </c>
      <c r="T12" s="186">
        <v>4158</v>
      </c>
      <c r="U12" s="186">
        <v>4022</v>
      </c>
      <c r="V12" s="186">
        <v>3166</v>
      </c>
      <c r="W12" s="186">
        <v>1029</v>
      </c>
      <c r="X12" s="192">
        <v>1533</v>
      </c>
      <c r="Y12" s="194">
        <v>179</v>
      </c>
      <c r="Z12" s="184">
        <v>372</v>
      </c>
      <c r="AA12" s="184">
        <v>393</v>
      </c>
      <c r="AB12" s="184">
        <v>143</v>
      </c>
      <c r="AC12" s="186">
        <v>0</v>
      </c>
      <c r="AD12" s="186">
        <v>0</v>
      </c>
      <c r="AE12" s="186">
        <v>0</v>
      </c>
      <c r="AF12" s="192">
        <v>0</v>
      </c>
      <c r="AG12" s="205">
        <v>175</v>
      </c>
      <c r="AH12" s="186">
        <v>430</v>
      </c>
      <c r="AI12" s="186">
        <v>429</v>
      </c>
      <c r="AJ12" s="206">
        <v>179</v>
      </c>
      <c r="AK12" s="185">
        <v>0</v>
      </c>
      <c r="AL12" s="186">
        <v>0</v>
      </c>
      <c r="AM12" s="186">
        <v>0</v>
      </c>
      <c r="AN12" s="192">
        <v>0</v>
      </c>
      <c r="AO12" s="262">
        <v>4</v>
      </c>
      <c r="AP12" s="158">
        <v>4</v>
      </c>
      <c r="AQ12" s="158">
        <v>4</v>
      </c>
      <c r="AR12" s="157">
        <v>4</v>
      </c>
      <c r="AS12" s="343" t="s">
        <v>803</v>
      </c>
      <c r="AT12" s="206"/>
      <c r="AU12" s="205"/>
      <c r="AV12" s="206"/>
      <c r="AW12" s="205"/>
      <c r="AX12" s="206"/>
      <c r="AY12" s="126">
        <f t="shared" si="1"/>
        <v>3303</v>
      </c>
      <c r="AZ12" s="127">
        <f t="shared" si="1"/>
        <v>4588</v>
      </c>
      <c r="BA12" s="127">
        <f t="shared" si="1"/>
        <v>4451</v>
      </c>
      <c r="BB12" s="127">
        <f t="shared" si="1"/>
        <v>3345</v>
      </c>
      <c r="BC12" s="125">
        <f>IF(ISNUMBER(X12),X12," - ")</f>
        <v>1533</v>
      </c>
      <c r="BD12" s="126">
        <f t="shared" si="2"/>
        <v>0.9701394943330427</v>
      </c>
      <c r="BE12" s="127">
        <f t="shared" si="3"/>
        <v>0.75151651314311396</v>
      </c>
      <c r="BF12" s="127">
        <f t="shared" si="4"/>
        <v>0.34441698494720285</v>
      </c>
      <c r="BG12" s="199">
        <f t="shared" si="5"/>
        <v>1.7728600314536058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3195</v>
      </c>
      <c r="J13" s="187">
        <f t="shared" si="6"/>
        <v>4499</v>
      </c>
      <c r="K13" s="187">
        <f t="shared" si="6"/>
        <v>4364</v>
      </c>
      <c r="L13" s="187">
        <f t="shared" si="6"/>
        <v>3271</v>
      </c>
      <c r="M13" s="187">
        <f t="shared" si="6"/>
        <v>1046</v>
      </c>
      <c r="N13" s="187">
        <f t="shared" si="6"/>
        <v>2140</v>
      </c>
      <c r="O13" s="187">
        <f t="shared" si="6"/>
        <v>2079</v>
      </c>
      <c r="P13" s="187">
        <f t="shared" si="6"/>
        <v>1348</v>
      </c>
      <c r="Q13" s="187">
        <f t="shared" si="6"/>
        <v>798</v>
      </c>
      <c r="R13" s="187">
        <f t="shared" si="6"/>
        <v>5448</v>
      </c>
      <c r="S13" s="187">
        <f t="shared" si="6"/>
        <v>3157</v>
      </c>
      <c r="T13" s="187">
        <f t="shared" si="6"/>
        <v>4212</v>
      </c>
      <c r="U13" s="187">
        <f t="shared" si="6"/>
        <v>4076</v>
      </c>
      <c r="V13" s="187">
        <f t="shared" si="6"/>
        <v>3195</v>
      </c>
      <c r="W13" s="187">
        <f t="shared" si="6"/>
        <v>1049</v>
      </c>
      <c r="X13" s="187">
        <f t="shared" si="6"/>
        <v>1541</v>
      </c>
      <c r="Y13" s="187">
        <f t="shared" si="6"/>
        <v>179</v>
      </c>
      <c r="Z13" s="187">
        <f t="shared" si="6"/>
        <v>372</v>
      </c>
      <c r="AA13" s="187">
        <f t="shared" si="6"/>
        <v>393</v>
      </c>
      <c r="AB13" s="187">
        <f t="shared" si="6"/>
        <v>143</v>
      </c>
      <c r="AC13" s="187">
        <f t="shared" si="6"/>
        <v>0</v>
      </c>
      <c r="AD13" s="187">
        <f t="shared" si="6"/>
        <v>0</v>
      </c>
      <c r="AE13" s="187">
        <f t="shared" si="6"/>
        <v>0</v>
      </c>
      <c r="AF13" s="187">
        <f>SUBTOTAL(9,AF9:AF12)</f>
        <v>0</v>
      </c>
      <c r="AG13" s="187">
        <f t="shared" ref="AG13:AT13" si="7">SUBTOTAL(9,AG8:AG12)</f>
        <v>175</v>
      </c>
      <c r="AH13" s="187">
        <f t="shared" si="7"/>
        <v>430</v>
      </c>
      <c r="AI13" s="187">
        <f t="shared" si="7"/>
        <v>429</v>
      </c>
      <c r="AJ13" s="187">
        <f t="shared" si="7"/>
        <v>179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3332</v>
      </c>
      <c r="AZ13" s="187">
        <f>SUBTOTAL(9,AZ8:AZ12)</f>
        <v>4642</v>
      </c>
      <c r="BA13" s="187">
        <f>SUBTOTAL(9,BA8:BA12)</f>
        <v>4505</v>
      </c>
      <c r="BB13" s="187">
        <f>SUBTOTAL(9,BB8:BB12)</f>
        <v>3374</v>
      </c>
      <c r="BC13" s="187">
        <f>SUBTOTAL(9,BC8:BC12)</f>
        <v>1553</v>
      </c>
      <c r="BD13" s="208">
        <f>IF(ISNUMBER(BA13/AZ13),BA13/AZ13," - ")</f>
        <v>0.97048685911245158</v>
      </c>
      <c r="BE13" s="209">
        <f>IF(ISNUMBER(BB13/BA13),BB13/BA13, " - ")</f>
        <v>0.74894561598224196</v>
      </c>
      <c r="BF13" s="209">
        <f>IF(ISNUMBER(BC13/BA13),BC13/BA13, " - ")</f>
        <v>0.34472807991120974</v>
      </c>
      <c r="BG13" s="210">
        <f>IF(ISNUMBER((AY13+AZ13)/BA13),(AY13+AZ13)/BA13," - ")</f>
        <v>1.7700332963374028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892</v>
      </c>
      <c r="J16" s="186">
        <v>3252</v>
      </c>
      <c r="K16" s="186">
        <v>3000</v>
      </c>
      <c r="L16" s="186">
        <v>1202</v>
      </c>
      <c r="M16" s="186">
        <v>445</v>
      </c>
      <c r="N16" s="186">
        <v>1816</v>
      </c>
      <c r="O16" s="184">
        <v>16</v>
      </c>
      <c r="P16" s="186">
        <v>196</v>
      </c>
      <c r="Q16" s="186">
        <v>196</v>
      </c>
      <c r="R16" s="186">
        <v>292</v>
      </c>
      <c r="S16" s="186">
        <v>851</v>
      </c>
      <c r="T16" s="186">
        <v>3161</v>
      </c>
      <c r="U16" s="186">
        <v>3065</v>
      </c>
      <c r="V16" s="186">
        <v>892</v>
      </c>
      <c r="W16" s="186">
        <v>533</v>
      </c>
      <c r="X16" s="192">
        <v>1642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851</v>
      </c>
      <c r="AZ16" s="127">
        <f t="shared" si="9"/>
        <v>3161</v>
      </c>
      <c r="BA16" s="127">
        <f t="shared" si="9"/>
        <v>3065</v>
      </c>
      <c r="BB16" s="127">
        <f t="shared" si="9"/>
        <v>892</v>
      </c>
      <c r="BC16" s="125">
        <f>IF(ISNUMBER(W16),W16," - ")</f>
        <v>533</v>
      </c>
      <c r="BD16" s="126">
        <f t="shared" ref="BD16" si="11">IF(ISNUMBER(BA16/AZ16),BA16/AZ16," - ")</f>
        <v>0.96962986396709905</v>
      </c>
      <c r="BE16" s="127">
        <f t="shared" ref="BE16" si="12">IF(ISNUMBER(BB16/BA16),BB16/BA16, " - ")</f>
        <v>0.29102773246329527</v>
      </c>
      <c r="BF16" s="127">
        <f t="shared" ref="BF16" si="13">IF(ISNUMBER(BC16/BA16),BC16/BA16, " - ")</f>
        <v>0.1738988580750408</v>
      </c>
      <c r="BG16" s="199">
        <f t="shared" si="10"/>
        <v>1.3089722675367048</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172</v>
      </c>
      <c r="J17" s="186">
        <v>169</v>
      </c>
      <c r="K17" s="186">
        <v>228</v>
      </c>
      <c r="L17" s="186">
        <v>145</v>
      </c>
      <c r="M17" s="186">
        <v>11</v>
      </c>
      <c r="N17" s="186">
        <v>120</v>
      </c>
      <c r="O17" s="186">
        <v>0</v>
      </c>
      <c r="P17" s="186">
        <v>0</v>
      </c>
      <c r="Q17" s="186">
        <v>0</v>
      </c>
      <c r="R17" s="186">
        <v>0</v>
      </c>
      <c r="S17" s="186">
        <v>169</v>
      </c>
      <c r="T17" s="186">
        <v>597</v>
      </c>
      <c r="U17" s="186">
        <v>594</v>
      </c>
      <c r="V17" s="186">
        <v>172</v>
      </c>
      <c r="W17" s="186">
        <v>58</v>
      </c>
      <c r="X17" s="192">
        <v>331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169</v>
      </c>
      <c r="AZ17" s="129">
        <f t="shared" si="14"/>
        <v>597</v>
      </c>
      <c r="BA17" s="129">
        <f t="shared" si="14"/>
        <v>594</v>
      </c>
      <c r="BB17" s="129">
        <f t="shared" si="14"/>
        <v>172</v>
      </c>
      <c r="BC17" s="125">
        <f>IF(ISNUMBER(W17),W17," - ")</f>
        <v>58</v>
      </c>
      <c r="BD17" s="126">
        <f>IF(ISNUMBER(BA17/AZ17),BA17/AZ17," - ")</f>
        <v>0.99497487437185927</v>
      </c>
      <c r="BE17" s="127">
        <f>IF(ISNUMBER(BB17/BA17),BB17/BA17, " - ")</f>
        <v>0.28956228956228958</v>
      </c>
      <c r="BF17" s="127">
        <f>IF(ISNUMBER(BC17/BA17),BC17/BA17, " - ")</f>
        <v>9.7643097643097643E-2</v>
      </c>
      <c r="BG17" s="199">
        <f>IF(ISNUMBER((AY17+AZ17)/BA17),(AY17+AZ17)/BA17," - ")</f>
        <v>1.2895622895622896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1064</v>
      </c>
      <c r="J18" s="187">
        <f t="shared" si="15"/>
        <v>3421</v>
      </c>
      <c r="K18" s="187">
        <f t="shared" si="15"/>
        <v>3228</v>
      </c>
      <c r="L18" s="187">
        <f t="shared" si="15"/>
        <v>1347</v>
      </c>
      <c r="M18" s="187">
        <f t="shared" si="15"/>
        <v>456</v>
      </c>
      <c r="N18" s="187">
        <f t="shared" si="15"/>
        <v>1936</v>
      </c>
      <c r="O18" s="187">
        <f t="shared" si="15"/>
        <v>16</v>
      </c>
      <c r="P18" s="187">
        <f t="shared" si="15"/>
        <v>196</v>
      </c>
      <c r="Q18" s="187">
        <f t="shared" si="15"/>
        <v>196</v>
      </c>
      <c r="R18" s="187">
        <f t="shared" si="15"/>
        <v>292</v>
      </c>
      <c r="S18" s="187">
        <f t="shared" si="15"/>
        <v>1020</v>
      </c>
      <c r="T18" s="187">
        <f t="shared" si="15"/>
        <v>3758</v>
      </c>
      <c r="U18" s="187">
        <f t="shared" si="15"/>
        <v>3659</v>
      </c>
      <c r="V18" s="187">
        <f t="shared" si="15"/>
        <v>1064</v>
      </c>
      <c r="W18" s="187">
        <f t="shared" si="15"/>
        <v>591</v>
      </c>
      <c r="X18" s="187">
        <f t="shared" si="15"/>
        <v>1973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1020</v>
      </c>
      <c r="AZ18" s="187">
        <f>SUBTOTAL(9,AZ14:AZ17)</f>
        <v>3758</v>
      </c>
      <c r="BA18" s="187">
        <f>SUBTOTAL(9,BA14:BA17)</f>
        <v>3659</v>
      </c>
      <c r="BB18" s="187">
        <f>SUBTOTAL(9,BB14:BB17)</f>
        <v>1064</v>
      </c>
      <c r="BC18" s="187">
        <f>SUBTOTAL(9,BC14:BC17)</f>
        <v>591</v>
      </c>
      <c r="BD18" s="208">
        <f>IF(ISNUMBER(BA18/AZ18),BA18/AZ18," - ")</f>
        <v>0.97365620010643961</v>
      </c>
      <c r="BE18" s="209">
        <f>IF(ISNUMBER(BB18/BA18),BB18/BA18, " - ")</f>
        <v>0.29078983328778357</v>
      </c>
      <c r="BF18" s="209">
        <f>IF(ISNUMBER(BC18/BA18),BC18/BA18, " - ")</f>
        <v>0.16151954085815798</v>
      </c>
      <c r="BG18" s="210">
        <f>IF(ISNUMBER((AY18+AZ18)/BA18),(AY18+AZ18)/BA18," - ")</f>
        <v>1.3058212626400656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4259</v>
      </c>
      <c r="J19" s="134">
        <f t="shared" si="18"/>
        <v>7920</v>
      </c>
      <c r="K19" s="134">
        <f t="shared" si="18"/>
        <v>7592</v>
      </c>
      <c r="L19" s="134">
        <f t="shared" si="18"/>
        <v>4618</v>
      </c>
      <c r="M19" s="134">
        <f t="shared" si="18"/>
        <v>1502</v>
      </c>
      <c r="N19" s="134">
        <f t="shared" si="18"/>
        <v>4076</v>
      </c>
      <c r="O19" s="134">
        <f t="shared" si="18"/>
        <v>2095</v>
      </c>
      <c r="P19" s="134">
        <f t="shared" si="18"/>
        <v>1544</v>
      </c>
      <c r="Q19" s="134">
        <f t="shared" si="18"/>
        <v>994</v>
      </c>
      <c r="R19" s="134">
        <f t="shared" si="18"/>
        <v>5740</v>
      </c>
      <c r="S19" s="134">
        <f t="shared" si="18"/>
        <v>4177</v>
      </c>
      <c r="T19" s="134">
        <f t="shared" si="18"/>
        <v>7970</v>
      </c>
      <c r="U19" s="134">
        <f t="shared" si="18"/>
        <v>7735</v>
      </c>
      <c r="V19" s="134">
        <f t="shared" si="18"/>
        <v>4259</v>
      </c>
      <c r="W19" s="134">
        <f t="shared" si="18"/>
        <v>1640</v>
      </c>
      <c r="X19" s="134">
        <f t="shared" si="18"/>
        <v>3514</v>
      </c>
      <c r="Y19" s="134">
        <f t="shared" si="18"/>
        <v>179</v>
      </c>
      <c r="Z19" s="134">
        <f t="shared" si="18"/>
        <v>372</v>
      </c>
      <c r="AA19" s="134">
        <f t="shared" si="18"/>
        <v>393</v>
      </c>
      <c r="AB19" s="134">
        <f t="shared" si="18"/>
        <v>143</v>
      </c>
      <c r="AC19" s="134">
        <f t="shared" si="18"/>
        <v>0</v>
      </c>
      <c r="AD19" s="134">
        <f t="shared" si="18"/>
        <v>0</v>
      </c>
      <c r="AE19" s="134">
        <f t="shared" si="18"/>
        <v>0</v>
      </c>
      <c r="AF19" s="134">
        <f t="shared" si="18"/>
        <v>0</v>
      </c>
      <c r="AG19" s="134">
        <f t="shared" si="18"/>
        <v>175</v>
      </c>
      <c r="AH19" s="134">
        <f t="shared" si="18"/>
        <v>430</v>
      </c>
      <c r="AI19" s="134">
        <f t="shared" si="18"/>
        <v>429</v>
      </c>
      <c r="AJ19" s="134">
        <f t="shared" si="18"/>
        <v>179</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4352</v>
      </c>
      <c r="AZ19" s="134">
        <f>SUBTOTAL(9,AZ9:AZ18)</f>
        <v>8400</v>
      </c>
      <c r="BA19" s="134">
        <f>SUBTOTAL(9,BA9:BA18)</f>
        <v>8164</v>
      </c>
      <c r="BB19" s="134">
        <f>SUBTOTAL(9,BB9:BB18)</f>
        <v>4438</v>
      </c>
      <c r="BC19" s="135">
        <f>SUBTOTAL(9,BC9:BC18)</f>
        <v>2144</v>
      </c>
      <c r="BD19" s="216">
        <f>IF(ISNUMBER(BA19/AZ19),BA19/AZ19," - ")</f>
        <v>0.97190476190476194</v>
      </c>
      <c r="BE19" s="213">
        <f>IF(ISNUMBER(BB19/BA19),BB19/BA19, " - ")</f>
        <v>0.54360607545320916</v>
      </c>
      <c r="BF19" s="213">
        <f>IF(ISNUMBER(BC19/BA19),BC19/BA19, " - ")</f>
        <v>0.26261636452719256</v>
      </c>
      <c r="BG19" s="135">
        <f>IF(ISNUMBER((AY19+AZ19)/BA19),(AY19+AZ19)/BA19," - ")</f>
        <v>1.5619794218520333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P8/HwHAbmBHASPeiG0mb6J1pyqZ1pDBeHndAOGKA0OEIJvPS0nfgGftKW+xtnjcXmtI4P3xdgOLdgtKveu49g==" saltValue="l35Zi7sHoOM2istA9Opl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Emp7XdOOziTgNBAxmklO9OlWFijOjGTAaMU87Qa4NMRdwKHoB86/jneRuQ7KPDNXgOamnfuaNFocyWfhpbQiw==" saltValue="uK1IrfDUGsOS9Zngk13r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SAN VICENTE DEL RASPEIG-SANT VICENT DEL RASPEIG</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29</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2</v>
      </c>
      <c r="AD10" s="337"/>
      <c r="AE10" s="487"/>
      <c r="AF10" s="335">
        <f>IF(ISNUMBER(Datos!L10),Datos!L10,"-")</f>
        <v>15</v>
      </c>
      <c r="AG10" s="337"/>
      <c r="AH10" s="337"/>
      <c r="AI10" s="337"/>
      <c r="AJ10" s="337"/>
      <c r="AK10" s="337"/>
      <c r="AL10" s="482"/>
      <c r="AM10" s="338">
        <f>IF(ISNUMBER(Datos!R10),Datos!R10," - ")</f>
        <v>89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11.785714285714285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1.1363636363636364E-2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372</v>
      </c>
      <c r="O12" s="337"/>
      <c r="P12" s="337"/>
      <c r="Q12" s="229">
        <f>IF(ISNUMBER(Datos!P12),Datos!P12,0)</f>
        <v>1345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796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5359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1046</v>
      </c>
      <c r="BD12" s="232">
        <f>IF(ISNUMBER(Datos!N12),Datos!N12," - ")</f>
        <v>2140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0.97372202833093824</v>
      </c>
      <c r="BH12" s="263">
        <f>IF(ISNUMBER(((IF(J_V="SI",Datos!L12/Datos!K12,(Datos!L12+Datos!AB12)/(Datos!K12+Datos!AA12)))*11)/factor_trimestre),((IF(J_V="SI",Datos!L12/Datos!K12,(Datos!L12+Datos!AB12)/(Datos!K12+Datos!AA12)))*11)/factor_trimestre," - ")</f>
        <v>7.882985452245415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0.11413721413721414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29</v>
      </c>
      <c r="G13" s="901">
        <f t="shared" si="0"/>
        <v>29</v>
      </c>
      <c r="H13" s="902">
        <f t="shared" si="0"/>
        <v>0</v>
      </c>
      <c r="I13" s="901">
        <f t="shared" si="0"/>
        <v>0</v>
      </c>
      <c r="J13" s="870">
        <f t="shared" si="0"/>
        <v>0</v>
      </c>
      <c r="K13" s="870">
        <f t="shared" si="0"/>
        <v>0</v>
      </c>
      <c r="L13" s="902">
        <f t="shared" si="0"/>
        <v>0</v>
      </c>
      <c r="M13" s="902">
        <f t="shared" si="0"/>
        <v>0</v>
      </c>
      <c r="N13" s="902">
        <f t="shared" si="0"/>
        <v>372</v>
      </c>
      <c r="O13" s="903">
        <f t="shared" si="0"/>
        <v>0</v>
      </c>
      <c r="P13" s="903">
        <f t="shared" si="0"/>
        <v>0</v>
      </c>
      <c r="Q13" s="902">
        <f t="shared" si="0"/>
        <v>1348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798</v>
      </c>
      <c r="AD13" s="902">
        <f t="shared" si="1"/>
        <v>0</v>
      </c>
      <c r="AE13" s="902">
        <f t="shared" si="1"/>
        <v>0</v>
      </c>
      <c r="AF13" s="902">
        <f t="shared" si="1"/>
        <v>15</v>
      </c>
      <c r="AG13" s="902">
        <f t="shared" si="1"/>
        <v>0</v>
      </c>
      <c r="AH13" s="902">
        <f t="shared" si="1"/>
        <v>143</v>
      </c>
      <c r="AI13" s="902">
        <f t="shared" si="1"/>
        <v>0</v>
      </c>
      <c r="AJ13" s="902">
        <f t="shared" si="1"/>
        <v>0</v>
      </c>
      <c r="AK13" s="902">
        <f t="shared" si="1"/>
        <v>0</v>
      </c>
      <c r="AL13" s="902">
        <f t="shared" si="1"/>
        <v>0</v>
      </c>
      <c r="AM13" s="902">
        <f t="shared" si="1"/>
        <v>5448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1046</v>
      </c>
      <c r="BD13" s="902">
        <f t="shared" si="1"/>
        <v>2140</v>
      </c>
      <c r="BE13" s="902">
        <f t="shared" si="1"/>
        <v>0</v>
      </c>
      <c r="BF13" s="902">
        <f t="shared" si="1"/>
        <v>0</v>
      </c>
      <c r="BG13" s="902">
        <f>IF(ISNUMBER(Datos!K13/Datos!J13),Datos!K13/Datos!J13," - ")</f>
        <v>0.96999333185152259</v>
      </c>
      <c r="BH13" s="906">
        <f>IF(ISNUMBER(((Datos!L13/Datos!K13)*11)/factor_trimestre),((Datos!L13/Datos!K13)*11)/factor_trimestre," - ")</f>
        <v>8.2449587534372135</v>
      </c>
      <c r="BI13" s="902">
        <f>IF(ISNUMBER('Resol  Asuntos'!D13/NºAsuntos!G13),'Resol  Asuntos'!D13/NºAsuntos!G13," - ")</f>
        <v>0.21988648307756989</v>
      </c>
      <c r="BJ13" s="902" t="str">
        <f>IF(ISNUMBER(Datos!CI13/Datos!CJ13),Datos!CI13/Datos!CJ13," - ")</f>
        <v xml:space="preserve"> - </v>
      </c>
      <c r="BK13" s="902">
        <f>SUBTOTAL(9,BK8:BK12)</f>
        <v>0</v>
      </c>
      <c r="BL13" s="902">
        <f>IF(ISNUMBER((I13-AB13+L13)/(F13)),(I13-AB13+L13)/(F13)," - ")</f>
        <v>-0.48275862068965519</v>
      </c>
      <c r="BM13" s="907">
        <f>SUBTOTAL(9,BM9:BM12)</f>
        <v>0.1255008505008505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950</v>
      </c>
      <c r="G16" s="601">
        <f>IF(ISNUMBER(IF(D_I="SI",Datos!I16,Datos!I16+Datos!AC16)),IF(D_I="SI",Datos!I16,Datos!I16+Datos!AC16)," - ")</f>
        <v>892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3000</v>
      </c>
      <c r="AC16" s="229">
        <f>IF(ISNUMBER(Datos!Q16),Datos!Q16," - ")</f>
        <v>196</v>
      </c>
      <c r="AD16" s="337"/>
      <c r="AE16" s="487"/>
      <c r="AF16" s="599">
        <f>IF(ISNUMBER(IF(D_I="SI",Datos!L16,Datos!L16+Datos!AF16)),IF(D_I="SI",Datos!L16,Datos!L16+Datos!AF16)," - ")</f>
        <v>1202</v>
      </c>
      <c r="AG16" s="337"/>
      <c r="AH16" s="337"/>
      <c r="AI16" s="337"/>
      <c r="AJ16" s="337"/>
      <c r="AK16" s="337"/>
      <c r="AL16" s="482"/>
      <c r="AM16" s="338">
        <f>IF(ISNUMBER(Datos!R16),Datos!R16," - ")</f>
        <v>292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445</v>
      </c>
      <c r="BD16" s="232">
        <f>IF(ISNUMBER(Datos!N16),Datos!N16," - ")</f>
        <v>1816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0.92250922509225097</v>
      </c>
      <c r="BH16" s="263">
        <f>IF(ISNUMBER(((IF(D_I="SI",Datos!L16/Datos!K16,(Datos!L16+Datos!AF16)/(Datos!K16+Datos!AE16)))*11)/factor_trimestre),((IF(D_I="SI",Datos!L16/Datos!K16,(Datos!L16+Datos!AF16)/(Datos!K16+Datos!AE16)))*11)/factor_trimestre," - ")</f>
        <v>4.4073333333333338</v>
      </c>
      <c r="BI16" s="246">
        <f>IF(ISNUMBER('Resol  Asuntos'!D16/NºAsuntos!G16),'Resol  Asuntos'!D16/NºAsuntos!G16," - ")</f>
        <v>0.14833333333333334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228</v>
      </c>
      <c r="AC17" s="229">
        <f>IF(ISNUMBER(Datos!Q17),Datos!Q17," - ")</f>
        <v>0</v>
      </c>
      <c r="AD17" s="337"/>
      <c r="AE17" s="487"/>
      <c r="AF17" s="335">
        <f>IF(ISNUMBER(Datos!L17),Datos!L17,"-")</f>
        <v>145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v>
      </c>
      <c r="BD17" s="232">
        <f>IF(ISNUMBER(Datos!N17),Datos!N17," - ")</f>
        <v>120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1.349112426035503</v>
      </c>
      <c r="BH17" s="263">
        <f>IF(ISNUMBER(((IF(D_I="SI",Datos!L17/Datos!K17,(Datos!L17+Datos!AF17)/(Datos!K17+Datos!AE17)))*11)/factor_trimestre),((IF(D_I="SI",Datos!L17/Datos!K17,(Datos!L17+Datos!AF17)/(Datos!K17+Datos!AE17)))*11)/factor_trimestre," - ")</f>
        <v>6.9956140350877192</v>
      </c>
      <c r="BI17" s="246">
        <f>IF(ISNUMBER('Resol  Asuntos'!D17/NºAsuntos!G17),'Resol  Asuntos'!D17/NºAsuntos!G17," - ")</f>
        <v>4.8245614035087717E-2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950</v>
      </c>
      <c r="G18" s="901">
        <f>SUBTOTAL(9,G15:G17)</f>
        <v>1064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3228</v>
      </c>
      <c r="AC18" s="902">
        <f t="shared" si="4"/>
        <v>196</v>
      </c>
      <c r="AD18" s="902">
        <f t="shared" si="4"/>
        <v>0</v>
      </c>
      <c r="AE18" s="902">
        <f t="shared" si="4"/>
        <v>0</v>
      </c>
      <c r="AF18" s="902">
        <f t="shared" si="4"/>
        <v>1347</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456</v>
      </c>
      <c r="BD18" s="902">
        <f t="shared" si="4"/>
        <v>1936</v>
      </c>
      <c r="BE18" s="902">
        <f t="shared" si="4"/>
        <v>0</v>
      </c>
      <c r="BF18" s="902">
        <f t="shared" si="4"/>
        <v>0</v>
      </c>
      <c r="BG18" s="902">
        <f>IF(ISNUMBER(Datos!K18/Datos!J18),Datos!K18/Datos!J18," - ")</f>
        <v>0.94358374744226836</v>
      </c>
      <c r="BH18" s="906">
        <f>IF(ISNUMBER(((Datos!L18/Datos!K18)*11)/factor_trimestre),((Datos!L18/Datos!K18)*11)/factor_trimestre," - ")</f>
        <v>4.5901486988847582</v>
      </c>
      <c r="BI18" s="902">
        <f>SUBTOTAL(9,BI15:BI17)</f>
        <v>0.19657894736842108</v>
      </c>
      <c r="BJ18" s="902">
        <f>SUBTOTAL(9,BJ15:BJ17)</f>
        <v>0</v>
      </c>
      <c r="BK18" s="902">
        <f>SUBTOTAL(9,BK15:BK17)</f>
        <v>0</v>
      </c>
      <c r="BL18" s="902">
        <f>IF(ISNUMBER((I18-AB18+L18)/(F18)),(I18-AB18+L18)/(F18)," - ")</f>
        <v>-3.3978947368421051</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979</v>
      </c>
      <c r="G19" s="823">
        <f t="shared" si="6"/>
        <v>1093</v>
      </c>
      <c r="H19" s="825">
        <f t="shared" si="6"/>
        <v>0</v>
      </c>
      <c r="I19" s="823">
        <f t="shared" si="6"/>
        <v>0</v>
      </c>
      <c r="J19" s="825">
        <f t="shared" si="6"/>
        <v>0</v>
      </c>
      <c r="K19" s="825">
        <f t="shared" si="6"/>
        <v>0</v>
      </c>
      <c r="L19" s="884">
        <f t="shared" si="6"/>
        <v>0</v>
      </c>
      <c r="M19" s="884">
        <f t="shared" si="6"/>
        <v>0</v>
      </c>
      <c r="N19" s="884">
        <f t="shared" si="6"/>
        <v>372</v>
      </c>
      <c r="O19" s="884">
        <f t="shared" si="6"/>
        <v>0</v>
      </c>
      <c r="P19" s="884">
        <f t="shared" si="6"/>
        <v>0</v>
      </c>
      <c r="Q19" s="825">
        <f t="shared" si="6"/>
        <v>1544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3242</v>
      </c>
      <c r="AC19" s="824">
        <f t="shared" si="7"/>
        <v>994</v>
      </c>
      <c r="AD19" s="824">
        <f t="shared" si="7"/>
        <v>0</v>
      </c>
      <c r="AE19" s="824">
        <f t="shared" si="7"/>
        <v>0</v>
      </c>
      <c r="AF19" s="831">
        <f t="shared" si="7"/>
        <v>1362</v>
      </c>
      <c r="AG19" s="831">
        <f t="shared" si="7"/>
        <v>0</v>
      </c>
      <c r="AH19" s="831">
        <f t="shared" si="7"/>
        <v>143</v>
      </c>
      <c r="AI19" s="831">
        <f t="shared" si="7"/>
        <v>0</v>
      </c>
      <c r="AJ19" s="824">
        <f t="shared" si="7"/>
        <v>0</v>
      </c>
      <c r="AK19" s="831">
        <f t="shared" si="7"/>
        <v>0</v>
      </c>
      <c r="AL19" s="831">
        <f t="shared" si="7"/>
        <v>0</v>
      </c>
      <c r="AM19" s="831">
        <f t="shared" si="7"/>
        <v>5740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1502</v>
      </c>
      <c r="BD19" s="823">
        <f t="shared" si="7"/>
        <v>4076</v>
      </c>
      <c r="BE19" s="823">
        <f t="shared" si="7"/>
        <v>0</v>
      </c>
      <c r="BF19" s="833">
        <f t="shared" si="7"/>
        <v>0</v>
      </c>
      <c r="BG19" s="918">
        <f>IF(ISNUMBER(Datos!K19/Datos!J19),Datos!K19/Datos!J19," - ")</f>
        <v>0.95858585858585854</v>
      </c>
      <c r="BH19" s="918">
        <f>IF(ISNUMBER(((Datos!L19/Datos!K19)*11)/factor_trimestre),((Datos!L19/Datos!K19)*11)/factor_trimestre," - ")</f>
        <v>6.6909905163329819</v>
      </c>
      <c r="BI19" s="816">
        <f>IF(ISNUMBER(Datos!J19/Datos!I19),Datos!J19/Datos!I19," - ")</f>
        <v>1.8595914533928153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-3.3115423901940755</v>
      </c>
      <c r="BM19" s="892">
        <f>IF(ISNUMBER((Datos!P19-Datos!Q19+R19)/(Datos!R19-Datos!P19+Datos!Q19-R19)),(Datos!P19-Datos!Q19+R19)/(Datos!R19-Datos!P19+Datos!Q19-R19)," - ")</f>
        <v>0.10597302504816955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531.73959792364531</v>
      </c>
      <c r="G21" s="555">
        <f>IF(ISNUMBER(STDEV(G8:G18)),STDEV(G8:G18),"-")</f>
        <v>500.82601769476793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1663.1227254775879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466.97137671025047</v>
      </c>
      <c r="BD21" s="554"/>
      <c r="BE21" s="554">
        <f>IF(ISNUMBER(STDEV(BE8:BE18)),STDEV(BE8:BE18),"-")</f>
        <v>0</v>
      </c>
      <c r="BF21" s="559">
        <f>IF(ISNUMBER(STDEV(BF8:BF18)),STDEV(BF8:BF18),"-")</f>
        <v>0</v>
      </c>
      <c r="BG21" s="778">
        <f>IF(ISNUMBER(STDEV(BG8:BG18)),STDEV(BG8:BG18),"-")</f>
        <v>0.17861051913085577</v>
      </c>
      <c r="BH21" s="779">
        <f>IF(ISNUMBER(STDEV(BH8:BH18)),STDEV(BH8:BH18),"-")</f>
        <v>2.7260233912382565</v>
      </c>
      <c r="BI21" s="252">
        <f>IF(ISNUMBER(STDEV(BI8:BI18)),STDEV(BI8:BI18),"-")</f>
        <v>7.6087477611046381E-2</v>
      </c>
      <c r="BJ21" s="233" t="str">
        <f>IF(ISNUMBER(BL21/BM21),BL21/BM21," - ")</f>
        <v xml:space="preserve"> - </v>
      </c>
      <c r="BK21" s="578"/>
      <c r="BL21" s="562">
        <f>IF(ISNUMBER(STDEV(BL8:BL18)),STDEV(BL8:BL18),"-")</f>
        <v>2.0613125158132126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p0wk63rRsbdYr88O8sMtzx//ybMCYJVgigJ7FZx4NI54wIV+pPa6ibdQr2WhIEpFXXdRNOi/rCEhtgy2qbRnw==" saltValue="cFyXA5d8w+bY1jfkYYKp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SAN VICENTE DEL RASPEIG-SANT VICENT DEL RASPEIG</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29</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2</v>
      </c>
      <c r="AA10" s="335">
        <f>IF(ISNUMBER(Datos!L10),Datos!L10,"-")</f>
        <v>15</v>
      </c>
      <c r="AB10" s="337"/>
      <c r="AC10" s="337"/>
      <c r="AD10" s="487"/>
      <c r="AE10" s="487">
        <f>IF(ISNUMBER(Datos!R10),Datos!R10," - ")</f>
        <v>89</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11.785714285714285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1.1363636363636364E-2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1345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796</v>
      </c>
      <c r="AA12" s="335" t="str">
        <f>IF(ISNUMBER(IF(J_V="SI",Datos!L12,Datos!L12+Datos!AB12)-IF(Monitorios="SI",Datos!CD12,0)),
                          IF(J_V="SI",Datos!L12,Datos!L12+Datos!AB12)-IF(Monitorios="SI",Datos!CD12,0),
                          " - ")</f>
        <v xml:space="preserve"> - </v>
      </c>
      <c r="AB12" s="337"/>
      <c r="AC12" s="337"/>
      <c r="AD12" s="487"/>
      <c r="AE12" s="487">
        <f>IF(ISNUMBER(Datos!R12),Datos!R12," - ")</f>
        <v>5359</v>
      </c>
      <c r="AF12" s="232" t="str">
        <f>IF(ISNUMBER(Datos!BV12),Datos!BV12," - ")</f>
        <v xml:space="preserve"> - </v>
      </c>
      <c r="AG12" s="228" t="str">
        <f>IF(ISNUMBER(Datos!DV12),Datos!DV12," - ")</f>
        <v xml:space="preserve"> - </v>
      </c>
      <c r="AH12" s="301"/>
      <c r="AI12" s="230"/>
      <c r="AJ12" s="228">
        <f>IF(ISNUMBER(Datos!M12),Datos!M12," - ")</f>
        <v>1046</v>
      </c>
      <c r="AK12" s="232">
        <f>IF(ISNUMBER(Datos!N12),Datos!N12," - ")</f>
        <v>2140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7.882985452245415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0.11413721413721414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29</v>
      </c>
      <c r="G13" s="901">
        <f>SUBTOTAL(9,G8:G12)</f>
        <v>29</v>
      </c>
      <c r="H13" s="911"/>
      <c r="I13" s="901">
        <f t="shared" ref="I13:N13" si="0">SUBTOTAL(9,I8:I12)</f>
        <v>0</v>
      </c>
      <c r="J13" s="870">
        <f t="shared" si="0"/>
        <v>0</v>
      </c>
      <c r="K13" s="911">
        <f t="shared" si="0"/>
        <v>0</v>
      </c>
      <c r="L13" s="911">
        <f t="shared" si="0"/>
        <v>0</v>
      </c>
      <c r="M13" s="911">
        <f t="shared" si="0"/>
        <v>0</v>
      </c>
      <c r="N13" s="911">
        <f t="shared" si="0"/>
        <v>1348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798</v>
      </c>
      <c r="AA13" s="903">
        <f t="shared" si="2"/>
        <v>15</v>
      </c>
      <c r="AB13" s="903">
        <f t="shared" si="2"/>
        <v>0</v>
      </c>
      <c r="AC13" s="903">
        <f t="shared" si="2"/>
        <v>0</v>
      </c>
      <c r="AD13" s="903">
        <f t="shared" si="2"/>
        <v>0</v>
      </c>
      <c r="AE13" s="903">
        <f t="shared" si="2"/>
        <v>5448</v>
      </c>
      <c r="AF13" s="911">
        <f t="shared" si="2"/>
        <v>0</v>
      </c>
      <c r="AG13" s="911">
        <f t="shared" si="2"/>
        <v>0</v>
      </c>
      <c r="AH13" s="911">
        <f t="shared" si="2"/>
        <v>0</v>
      </c>
      <c r="AI13" s="911">
        <f t="shared" si="2"/>
        <v>0</v>
      </c>
      <c r="AJ13" s="911">
        <f t="shared" si="2"/>
        <v>1046</v>
      </c>
      <c r="AK13" s="911">
        <f t="shared" si="2"/>
        <v>2140</v>
      </c>
      <c r="AL13" s="911">
        <f t="shared" si="2"/>
        <v>0</v>
      </c>
      <c r="AM13" s="911">
        <f t="shared" si="2"/>
        <v>0</v>
      </c>
      <c r="AN13" s="911">
        <f t="shared" si="2"/>
        <v>0</v>
      </c>
      <c r="AO13" s="907">
        <f>IF(ISNUMBER(((NºAsuntos!I13/NºAsuntos!G13)*11)/factor_trimestre),((NºAsuntos!I13/NºAsuntos!G13)*11)/factor_trimestre," - ")</f>
        <v>7.8944713054446085</v>
      </c>
      <c r="AP13" s="913" t="str">
        <f>IF(ISNUMBER(Datos!CI13/Datos!CJ13),Datos!CI13/Datos!CJ13," - ")</f>
        <v xml:space="preserve"> - </v>
      </c>
      <c r="AQ13" s="931">
        <f t="shared" ref="AQ13:AV13" si="3">SUBTOTAL(9,AQ9:AQ12)</f>
        <v>0</v>
      </c>
      <c r="AR13" s="931">
        <f t="shared" si="3"/>
        <v>0.1255008505008505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950</v>
      </c>
      <c r="G16" s="228">
        <f>IF(ISNUMBER(IF(D_I="SI",Datos!I16,Datos!I16+Datos!AC16)),IF(D_I="SI",Datos!I16,Datos!I16+Datos!AC16)," - ")</f>
        <v>892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3000</v>
      </c>
      <c r="Z16" s="622">
        <f>IF(ISNUMBER(Datos!Q16),Datos!Q16," - ")</f>
        <v>196</v>
      </c>
      <c r="AA16" s="335">
        <f>IF(ISNUMBER(IF(D_I="SI",Datos!L16,Datos!L16+Datos!AF16)),IF(D_I="SI",Datos!L16,Datos!L16+Datos!AF16)," - ")</f>
        <v>1202</v>
      </c>
      <c r="AB16" s="337"/>
      <c r="AC16" s="337"/>
      <c r="AD16" s="487"/>
      <c r="AE16" s="487">
        <f>IF(ISNUMBER(Datos!R16),Datos!R16," - ")</f>
        <v>292</v>
      </c>
      <c r="AF16" s="232" t="str">
        <f>IF(ISNUMBER(Datos!BV16),Datos!BV16," - ")</f>
        <v xml:space="preserve"> - </v>
      </c>
      <c r="AG16" s="228"/>
      <c r="AH16" s="301"/>
      <c r="AI16" s="230"/>
      <c r="AJ16" s="228">
        <f>IF(ISNUMBER(Datos!M16),Datos!M16," - ")</f>
        <v>445</v>
      </c>
      <c r="AK16" s="232">
        <f>IF(ISNUMBER(Datos!N16),Datos!N16," - ")</f>
        <v>1816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4.4073333333333338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228</v>
      </c>
      <c r="Z17" s="622">
        <f>IF(ISNUMBER(Datos!Q17),Datos!Q17," - ")</f>
        <v>0</v>
      </c>
      <c r="AA17" s="335">
        <f>IF(ISNUMBER(Datos!L17),Datos!L17,"-")</f>
        <v>145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11</v>
      </c>
      <c r="AK17" s="232">
        <f>IF(ISNUMBER(Datos!N17),Datos!N17," - ")</f>
        <v>120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6.9956140350877192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950</v>
      </c>
      <c r="G18" s="901">
        <f>SUBTOTAL(9,G15:G17)</f>
        <v>1064</v>
      </c>
      <c r="H18" s="935">
        <f>SUBTOTAL(9,H15:H17)</f>
        <v>0</v>
      </c>
      <c r="I18" s="914">
        <f>SUBTOTAL(9,I15:I17)</f>
        <v>0</v>
      </c>
      <c r="J18" s="870">
        <f>SUBTOTAL(9,J14:J17)</f>
        <v>0</v>
      </c>
      <c r="K18" s="935">
        <f t="shared" ref="K18:S18" si="4">SUBTOTAL(9,K15:K17)</f>
        <v>0</v>
      </c>
      <c r="L18" s="935">
        <f t="shared" si="4"/>
        <v>0</v>
      </c>
      <c r="M18" s="935">
        <f t="shared" si="4"/>
        <v>0</v>
      </c>
      <c r="N18" s="935">
        <f t="shared" si="4"/>
        <v>196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3228</v>
      </c>
      <c r="Z18" s="935">
        <f t="shared" si="5"/>
        <v>196</v>
      </c>
      <c r="AA18" s="935">
        <f t="shared" si="5"/>
        <v>1347</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456</v>
      </c>
      <c r="AK18" s="935">
        <f t="shared" si="5"/>
        <v>1936</v>
      </c>
      <c r="AL18" s="935">
        <f t="shared" si="5"/>
        <v>0</v>
      </c>
      <c r="AM18" s="935">
        <f t="shared" si="5"/>
        <v>0</v>
      </c>
      <c r="AN18" s="935">
        <f t="shared" si="5"/>
        <v>0</v>
      </c>
      <c r="AO18" s="937">
        <f>IF(ISNUMBER(((NºAsuntos!I18/NºAsuntos!G18)*11)/factor_trimestre),((NºAsuntos!I18/NºAsuntos!G18)*11)/factor_trimestre," - ")</f>
        <v>4.5901486988847582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979</v>
      </c>
      <c r="G19" s="823">
        <f t="shared" si="7"/>
        <v>1093</v>
      </c>
      <c r="H19" s="824">
        <f t="shared" si="7"/>
        <v>0</v>
      </c>
      <c r="I19" s="823">
        <f t="shared" si="7"/>
        <v>0</v>
      </c>
      <c r="J19" s="825">
        <f t="shared" si="7"/>
        <v>0</v>
      </c>
      <c r="K19" s="823">
        <f t="shared" si="7"/>
        <v>0</v>
      </c>
      <c r="L19" s="826">
        <f t="shared" si="7"/>
        <v>0</v>
      </c>
      <c r="M19" s="823">
        <f t="shared" si="7"/>
        <v>0</v>
      </c>
      <c r="N19" s="824">
        <f t="shared" si="7"/>
        <v>1544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3242</v>
      </c>
      <c r="Z19" s="830">
        <f t="shared" si="8"/>
        <v>994</v>
      </c>
      <c r="AA19" s="831">
        <f t="shared" si="8"/>
        <v>1362</v>
      </c>
      <c r="AB19" s="831">
        <f t="shared" si="8"/>
        <v>0</v>
      </c>
      <c r="AC19" s="831">
        <f t="shared" si="8"/>
        <v>0</v>
      </c>
      <c r="AD19" s="832">
        <f t="shared" si="8"/>
        <v>0</v>
      </c>
      <c r="AE19" s="832">
        <f t="shared" si="8"/>
        <v>5740</v>
      </c>
      <c r="AF19" s="833">
        <f t="shared" si="8"/>
        <v>0</v>
      </c>
      <c r="AG19" s="834">
        <f t="shared" si="8"/>
        <v>0</v>
      </c>
      <c r="AH19" s="835">
        <f t="shared" si="8"/>
        <v>0</v>
      </c>
      <c r="AI19" s="833">
        <f t="shared" si="8"/>
        <v>0</v>
      </c>
      <c r="AJ19" s="823">
        <f t="shared" si="8"/>
        <v>1502</v>
      </c>
      <c r="AK19" s="823">
        <f t="shared" si="8"/>
        <v>4076</v>
      </c>
      <c r="AL19" s="823">
        <f t="shared" si="8"/>
        <v>0</v>
      </c>
      <c r="AM19" s="836">
        <f t="shared" si="8"/>
        <v>0</v>
      </c>
      <c r="AN19" s="826">
        <f>IF(ISNUMBER(Datos!K19/Datos!J19),Datos!K19/Datos!J19," - ")</f>
        <v>0.95858585858585854</v>
      </c>
      <c r="AO19" s="826">
        <f>IF(ISNUMBER(FIND("06",Criterios!A8,1)),(IF(ISNUMBER(((Datos!R19/Datos!Q19)*11)/factor_trimestre),((Datos!R19/Datos!Q19)*11)/factor_trimestre," - ")),(IF(ISNUMBER(((Datos!L19/Datos!K19)*11)/factor_trimestre),((Datos!L19/Datos!K19)*11)/factor_trimestre," - ")))</f>
        <v>6.6909905163329819</v>
      </c>
      <c r="AP19" s="837" t="str">
        <f>IF(ISNUMBER(Datos!CI19/Datos!CJ19),Datos!CI19/Datos!CJ19," - ")</f>
        <v xml:space="preserve"> - </v>
      </c>
      <c r="AQ19" s="837">
        <f>IF(OR(ISNUMBER(FIND("01",Criterios!A8,1)),ISNUMBER(FIND("02",Criterios!A8,1)),ISNUMBER(FIND("03",Criterios!A8,1)),ISNUMBER(FIND("04",Criterios!A8,1))),(J19-Y19+K19)/(F19-K19),(I19-Y19+K19)/(F19-K19))</f>
        <v>-3.3115423901940755</v>
      </c>
      <c r="AR19" s="837">
        <f>IF(ISNUMBER((Datos!P19-Datos!Q19+O19)/(Datos!R19-Datos!P19+Datos!Q19-O19)),(Datos!P19-Datos!Q19+O19)/(Datos!R19-Datos!P19+Datos!Q19-O19)," - ")</f>
        <v>0.10597302504816955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531.73959792364531</v>
      </c>
      <c r="G21" s="555">
        <f>IF(ISNUMBER(STDEV(G8:G18)),STDEV(G8:G18),"-")</f>
        <v>500.82601769476793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466.97137671025047</v>
      </c>
      <c r="AK21" s="255"/>
      <c r="AL21" s="255">
        <f>IF(ISNUMBER(STDEV(AL8:AL18)),STDEV(AL8:AL18),"-")</f>
        <v>0</v>
      </c>
      <c r="AM21" s="257">
        <f>IF(ISNUMBER(STDEV(AM8:AM18)),STDEV(AM8:AM18),"-")</f>
        <v>0</v>
      </c>
      <c r="AN21" s="542">
        <f>IF(ISNUMBER(STDEV(AN8:AN18)),STDEV(AN8:AN18),"-")</f>
        <v>0</v>
      </c>
      <c r="AO21" s="543">
        <f>IF(ISNUMBER(STDEV(AO8:AO18)),STDEV(AO8:AO18),"-")</f>
        <v>2.7058627165571543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Ym87Wggzf0unvJ6Eygsmd+qMdobqdC4jBMBnzsVXOg/iEAQSpqkAG8ZIOjMt/uIe97o6aRlHt52iXyqR5zttw==" saltValue="CJJ4CWXTg55JdDH26Rxw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nxOGjetCHdOoQHCq7/Q4cbL4m+JveeKk0Lk7E5fELL9E/bTGI7ClAcpwdbHnkQPiRIua5Qkq7DsJOEcp8UQbA==" saltValue="NdXnfax3f8nf5HwqtUKC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uINW5jL5P7tRN85nswq4AwYAVcwtScHHE2Bjt9MmJYp/BJNvJ21DHnd+Ii6W70QZT4ftHOsNGalr0yjSSrkkQ==" saltValue="6V76IKD/MSCzuxrfMnr0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SAN VICENTE DEL RASPEIG-SANT VICENT DEL RASPEIG</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0.21988648307756989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0.1554832232754107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5tQxHTCgMiuXEBmAlg1vVCMMgxn6+qYQnY1RasD4HoppkswC0u6eFxcN94lRNXOlqa1Inzgre/Xtb+9YaQr9eA==" saltValue="KmuBYMLMcucl1pmV8fcQ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U2MW4VlZtlCeBVzxCR6gi+U7lR4SvQN9cbQNLJxP+71KzFl1YslgZHbW/SBpeWyuYIi4mbqs2RHmUYnRwWaXg==" saltValue="GvwFkBP947XJbgjgSKXh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SAN VICENTE DEL RASPEIG-SANT VICENT DEL RASPEIG</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0</v>
      </c>
      <c r="F10" s="407">
        <f>IF(ISNUMBER(E10/B10),E10/B10," - ")</f>
        <v>0</v>
      </c>
      <c r="G10" s="406">
        <f>IF(ISNUMBER(Datos!K10),Datos!K10," - ")</f>
        <v>14</v>
      </c>
      <c r="H10" s="407">
        <f>IF(ISNUMBER(G10/B10),G10/B10," - ")</f>
        <v>14</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3345</v>
      </c>
      <c r="D12" s="407">
        <f>IF(ISNUMBER(C12/Datos!BH12),C12/Datos!BH12," - ")</f>
        <v>836.25</v>
      </c>
      <c r="E12" s="406">
        <f>IF(ISNUMBER(IF(J_V="SI",Datos!J12,Datos!J12+Datos!Z12)),IF(J_V="SI",Datos!J12,Datos!J12+Datos!Z12)," - ")</f>
        <v>4871</v>
      </c>
      <c r="F12" s="407">
        <f>IF(ISNUMBER(E12/B12),E12/B12," - ")</f>
        <v>1217.75</v>
      </c>
      <c r="G12" s="406">
        <f>IF(ISNUMBER(IF(J_V="SI",Datos!K12,Datos!K12+Datos!AA12)),IF(J_V="SI",Datos!K12,Datos!K12+Datos!AA12)," - ")</f>
        <v>4743</v>
      </c>
      <c r="H12" s="407">
        <f>IF(ISNUMBER(G12/B12),G12/B12," - ")</f>
        <v>1185.75</v>
      </c>
      <c r="I12" s="406">
        <f>IF(ISNUMBER(IF(J_V="SI",Datos!L12,Datos!L12+Datos!AB12)),IF(J_V="SI",Datos!L12,Datos!L12+Datos!AB12)," - ")</f>
        <v>3399</v>
      </c>
      <c r="J12" s="407">
        <f>IF(ISNUMBER(I12/B12),I12/B12," - ")</f>
        <v>849.75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3374</v>
      </c>
      <c r="D13" s="853" t="str">
        <f>IF(ISNUMBER(C13/Datos!BI13),C13/Datos!BI13," - ")</f>
        <v xml:space="preserve"> - </v>
      </c>
      <c r="E13" s="852">
        <f>SUBTOTAL(9,E8:E12)</f>
        <v>4871</v>
      </c>
      <c r="F13" s="853">
        <f>IF(ISNUMBER(E13/B13),E13/B13," - ")</f>
        <v>1217.75</v>
      </c>
      <c r="G13" s="852">
        <f>SUBTOTAL(9,G8:G12)</f>
        <v>4757</v>
      </c>
      <c r="H13" s="853">
        <f>IF(ISNUMBER(G13/B13),G13/B13," - ")</f>
        <v>1189.25</v>
      </c>
      <c r="I13" s="852">
        <f>SUBTOTAL(9,I8:I12)</f>
        <v>3414</v>
      </c>
      <c r="J13" s="853">
        <f>IF(ISNUMBER(I13/B13),I13/B13," - ")</f>
        <v>853.5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892</v>
      </c>
      <c r="D16" s="407">
        <f>IF(ISNUMBER(C16/Datos!BH16),C16/Datos!BH16," - ")</f>
        <v>223</v>
      </c>
      <c r="E16" s="406">
        <f>IF(ISNUMBER(IF(D_I="SI",Datos!J16,Datos!J16+Datos!AD16)),IF(D_I="SI",Datos!J16,Datos!J16+Datos!AD16)," - ")</f>
        <v>3252</v>
      </c>
      <c r="F16" s="407">
        <f>IF(ISNUMBER(E16/B16),E16/B16," - ")</f>
        <v>813</v>
      </c>
      <c r="G16" s="406">
        <f>IF(ISNUMBER(IF(D_I="SI",Datos!K16,Datos!K16+Datos!AE16)),IF(D_I="SI",Datos!K16,Datos!K16+Datos!AE16)," - ")</f>
        <v>3000</v>
      </c>
      <c r="H16" s="407">
        <f>IF(ISNUMBER(G16/B16),G16/B16," - ")</f>
        <v>750</v>
      </c>
      <c r="I16" s="406">
        <f>IF(ISNUMBER(IF(D_I="SI",Datos!L16,Datos!L16+Datos!AF16)),IF(D_I="SI",Datos!L16,Datos!L16+Datos!AF16)," - ")</f>
        <v>1202</v>
      </c>
      <c r="J16" s="407">
        <f>IF(ISNUMBER(I16/B16),I16/B16," - ")</f>
        <v>300.5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172</v>
      </c>
      <c r="D17" s="407">
        <f>IF(ISNUMBER(C17/Datos!BH17),C17/Datos!BH17," - ")</f>
        <v>172</v>
      </c>
      <c r="E17" s="406">
        <f>IF(ISNUMBER(IF(D_I="SI",Datos!J17,Datos!J17+Datos!AD17)),IF(D_I="SI",Datos!J17,Datos!J17+Datos!AD17)," - ")</f>
        <v>169</v>
      </c>
      <c r="F17" s="407">
        <f>IF(ISNUMBER(E17/B17),E17/B17," - ")</f>
        <v>169</v>
      </c>
      <c r="G17" s="406">
        <f>IF(ISNUMBER(IF(D_I="SI",Datos!K17,Datos!K17+Datos!AE17)),IF(D_I="SI",Datos!K17,Datos!K17+Datos!AE17)," - ")</f>
        <v>228</v>
      </c>
      <c r="H17" s="407">
        <f>IF(ISNUMBER(G17/B17),G17/B17," - ")</f>
        <v>228</v>
      </c>
      <c r="I17" s="406">
        <f>IF(ISNUMBER(IF(D_I="SI",Datos!L17,Datos!L17+Datos!AF17)),IF(D_I="SI",Datos!L17,Datos!L17+Datos!AF17)," - ")</f>
        <v>145</v>
      </c>
      <c r="J17" s="407">
        <f>IF(ISNUMBER(I17/B17),I17/B17," - ")</f>
        <v>145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1064</v>
      </c>
      <c r="D18" s="853" t="str">
        <f>IF(ISNUMBER(C18/Datos!BI18),C18/Datos!BI18," - ")</f>
        <v xml:space="preserve"> - </v>
      </c>
      <c r="E18" s="852">
        <f>SUBTOTAL(9,E14:E17)</f>
        <v>3421</v>
      </c>
      <c r="F18" s="853">
        <f>IF(ISNUMBER(E18/B18),E18/B18," - ")</f>
        <v>855.25</v>
      </c>
      <c r="G18" s="852">
        <f>SUBTOTAL(9,G14:G17)</f>
        <v>3228</v>
      </c>
      <c r="H18" s="853">
        <f>IF(ISNUMBER(G18/B18),G18/B18," - ")</f>
        <v>807</v>
      </c>
      <c r="I18" s="852">
        <f>SUBTOTAL(9,I14:I17)</f>
        <v>1347</v>
      </c>
      <c r="J18" s="853">
        <f>IF(ISNUMBER(I18/B18),I18/B18," - ")</f>
        <v>336.75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4438</v>
      </c>
      <c r="D19" s="798" t="str">
        <f>IF(ISNUMBER(C19/Datos!BI19),C19/Datos!BI19," - ")</f>
        <v xml:space="preserve"> - </v>
      </c>
      <c r="E19" s="797">
        <f>SUBTOTAL(9,E9:E18)</f>
        <v>8292</v>
      </c>
      <c r="F19" s="798">
        <f>IF(ISNUMBER(E19/B19),E19/B19," - ")</f>
        <v>2073</v>
      </c>
      <c r="G19" s="797">
        <f>SUBTOTAL(9,G9:G18)</f>
        <v>7985</v>
      </c>
      <c r="H19" s="798">
        <f>IF(ISNUMBER(G19/B19),G19/B19," - ")</f>
        <v>1996.25</v>
      </c>
      <c r="I19" s="797">
        <f>SUBTOTAL(9,I9:I18)</f>
        <v>4761</v>
      </c>
      <c r="J19" s="798">
        <f>IF(ISNUMBER(I19/B19),I19/B19," - ")</f>
        <v>1190.25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ETL5Ery+KAeV3lLAj1Ouzf6WRsFkOuTgFvAB3HxnacJsxJDD2lPYw0yQWDvYw1Q4Tr6zGse+qcew5XpCx51JA==" saltValue="E9c9Yw1TTFCesJqkfvHB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SAN VICENTE DEL RASPEIG-SANT VICENT DEL RASPEIG</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29</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11.785714285714285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1345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796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1046</v>
      </c>
      <c r="AM12" s="693">
        <f>IF(ISNUMBER(Datos!N12+DatosP!N16),Datos!N12+DatosP!N16," - ")</f>
        <v>2140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7.882985452245415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0.11413721413721414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29</v>
      </c>
      <c r="G13" s="941">
        <f t="shared" si="0"/>
        <v>29</v>
      </c>
      <c r="H13" s="941">
        <f t="shared" si="0"/>
        <v>0</v>
      </c>
      <c r="I13" s="943">
        <f t="shared" si="0"/>
        <v>0</v>
      </c>
      <c r="J13" s="942">
        <f t="shared" si="0"/>
        <v>0</v>
      </c>
      <c r="K13" s="942">
        <f t="shared" si="0"/>
        <v>0</v>
      </c>
      <c r="L13" s="944">
        <f t="shared" si="0"/>
        <v>0</v>
      </c>
      <c r="M13" s="944">
        <f t="shared" si="0"/>
        <v>0</v>
      </c>
      <c r="N13" s="942">
        <f t="shared" si="0"/>
        <v>1348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796</v>
      </c>
      <c r="AE13" s="942">
        <f t="shared" si="1"/>
        <v>0</v>
      </c>
      <c r="AF13" s="942">
        <f t="shared" si="1"/>
        <v>15</v>
      </c>
      <c r="AG13" s="942">
        <f t="shared" si="1"/>
        <v>0</v>
      </c>
      <c r="AH13" s="942">
        <f t="shared" si="1"/>
        <v>5359</v>
      </c>
      <c r="AI13" s="942">
        <f t="shared" si="1"/>
        <v>0</v>
      </c>
      <c r="AJ13" s="942">
        <f t="shared" si="1"/>
        <v>0</v>
      </c>
      <c r="AK13" s="942">
        <f t="shared" si="1"/>
        <v>0</v>
      </c>
      <c r="AL13" s="942">
        <f t="shared" si="1"/>
        <v>1046</v>
      </c>
      <c r="AM13" s="942">
        <f t="shared" si="1"/>
        <v>2140</v>
      </c>
      <c r="AN13" s="942">
        <f t="shared" si="1"/>
        <v>0</v>
      </c>
      <c r="AO13" s="942">
        <f t="shared" si="1"/>
        <v>0</v>
      </c>
      <c r="AP13" s="947">
        <f>IF(ISNUMBER(((Datos!L13/Datos!K13)*11)/factor_trimestre),((Datos!L13/Datos!K13)*11)/factor_trimestre," - ")</f>
        <v>8.2449587534372135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-0.48275862068965519</v>
      </c>
      <c r="AU13" s="942" t="str">
        <f>IF(ISNUMBER((DatosP!#REF!-DatosP!#REF!+DatosP!#REF!)/(DatosP!#REF!+DatosP!#REF!-DatosP!#REF!-DatosP!#REF!)),(DatosP!#REF!-DatosP!#REF!+DatosP!#REF!)/(DatosP!#REF!+DatosP!#REF!-DatosP!#REF!-DatosP!#REF!)," - ")</f>
        <v xml:space="preserve"> - </v>
      </c>
      <c r="AV13" s="948">
        <f>SUBTOTAL(9,AV9:AV12)</f>
        <v>0.11413721413721414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4.5901486988847582</v>
      </c>
      <c r="AQ18" s="947">
        <f>IF(ISNUMBER(((Datos!M18/Datos!L18)*11)/factor_trimestre),((Datos!M18/Datos!L18)*11)/factor_trimestre," - ")</f>
        <v>3.723830734966592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-8.6021505376344093E-2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29</v>
      </c>
      <c r="G19" s="954">
        <f t="shared" si="4"/>
        <v>29</v>
      </c>
      <c r="H19" s="954">
        <f t="shared" si="4"/>
        <v>0</v>
      </c>
      <c r="I19" s="955">
        <f t="shared" si="4"/>
        <v>0</v>
      </c>
      <c r="J19" s="956">
        <f t="shared" si="4"/>
        <v>0</v>
      </c>
      <c r="K19" s="956">
        <f t="shared" si="4"/>
        <v>0</v>
      </c>
      <c r="L19" s="956">
        <f t="shared" si="4"/>
        <v>0</v>
      </c>
      <c r="M19" s="956">
        <f t="shared" si="4"/>
        <v>0</v>
      </c>
      <c r="N19" s="955">
        <f t="shared" si="4"/>
        <v>1348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796</v>
      </c>
      <c r="AE19" s="960">
        <f t="shared" si="5"/>
        <v>0</v>
      </c>
      <c r="AF19" s="961">
        <f t="shared" si="5"/>
        <v>15</v>
      </c>
      <c r="AG19" s="961">
        <f t="shared" si="5"/>
        <v>0</v>
      </c>
      <c r="AH19" s="961">
        <f t="shared" si="5"/>
        <v>5359</v>
      </c>
      <c r="AI19" s="961">
        <f t="shared" si="5"/>
        <v>0</v>
      </c>
      <c r="AJ19" s="962">
        <f t="shared" si="5"/>
        <v>0</v>
      </c>
      <c r="AK19" s="962">
        <f t="shared" si="5"/>
        <v>0</v>
      </c>
      <c r="AL19" s="954">
        <f t="shared" si="5"/>
        <v>1046</v>
      </c>
      <c r="AM19" s="954">
        <f t="shared" si="5"/>
        <v>2140</v>
      </c>
      <c r="AN19" s="954">
        <f t="shared" si="5"/>
        <v>0</v>
      </c>
      <c r="AO19" s="954">
        <f t="shared" si="5"/>
        <v>0</v>
      </c>
      <c r="AP19" s="954">
        <f>IF(ISNUMBER(((Datos!L19/Datos!K19)*11)/factor_trimestre),((Datos!L19/Datos!K19)*11)/factor_trimestre," - ")</f>
        <v>6.6909905163329819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-0.48275862068965519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0.10597302504816955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16.743157806499148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603.9083815723485</v>
      </c>
      <c r="AM21" s="739"/>
      <c r="AN21" s="739">
        <f>IF(ISNUMBER(STDEV(AN8:AN18)),STDEV(AN8:AN18),"-")</f>
        <v>0</v>
      </c>
      <c r="AO21" s="745">
        <f>IF(ISNUMBER(STDEV(AO8:AO18)),STDEV(AO8:AO18),"-")</f>
        <v>0</v>
      </c>
      <c r="AP21" s="782">
        <f>IF(ISNUMBER(STDEV(AP8:AP18)),STDEV(AP8:AP18),"-")</f>
        <v>2.9421624883071602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sEZAUOKEoH/sDnnfspWYMGKen+nqDA45HFLS0ndBV27Adw5jPkE5i4Yv5JcENduTx6pGlURq5uCJC6jSoM4og==" saltValue="av5mUMpvT5uVb9ZOEQhZ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SAN VICENTE DEL RASPEIG-SANT VICENT DEL RASPEIG</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SPNm9B790/ltrkF3Z35GpD57CcByI1k9ksdXMoJT8eIBvejJER3o1Fxgg4XAep+pPlzrf93oTKREvX/wmN8lA==" saltValue="NJZgCn4nMHYJwmmZkIzH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SAN VICENTE DEL RASPEIG-SANT VICENT DEL RASPEIG</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1046</v>
      </c>
      <c r="E12" s="407">
        <f t="shared" si="0"/>
        <v>261.5</v>
      </c>
      <c r="F12" s="406">
        <f>IF(ISNUMBER(Datos!N12),Datos!N12," - ")</f>
        <v>2140</v>
      </c>
      <c r="G12" s="407">
        <f t="shared" si="1"/>
        <v>535</v>
      </c>
      <c r="H12" s="406">
        <f>IF(ISNUMBER(Datos!O12),Datos!O12," - ")</f>
        <v>2079</v>
      </c>
      <c r="I12" s="407">
        <f t="shared" si="2"/>
        <v>519.75</v>
      </c>
    </row>
    <row r="13" spans="1:9" ht="14.25" thickTop="1" thickBot="1">
      <c r="A13" s="851" t="str">
        <f>Datos!A13</f>
        <v>TOTAL</v>
      </c>
      <c r="B13" s="852">
        <f>Datos!AO13</f>
        <v>5</v>
      </c>
      <c r="C13" s="854">
        <f>Datos!AR13</f>
        <v>4</v>
      </c>
      <c r="D13" s="852">
        <f>SUBTOTAL(9,D9:D12)</f>
        <v>1046</v>
      </c>
      <c r="E13" s="853">
        <f t="shared" si="0"/>
        <v>209.2</v>
      </c>
      <c r="F13" s="852">
        <f>SUBTOTAL(9,F9:F12)</f>
        <v>2140</v>
      </c>
      <c r="G13" s="853">
        <f t="shared" si="1"/>
        <v>428</v>
      </c>
      <c r="H13" s="852">
        <f>SUBTOTAL(9,H9:H12)</f>
        <v>2079</v>
      </c>
      <c r="I13" s="853">
        <f>IF(ISNUMBER(H13/B13),H13/B13," - ")</f>
        <v>415.8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445</v>
      </c>
      <c r="E16" s="407">
        <f t="shared" si="3"/>
        <v>111.25</v>
      </c>
      <c r="F16" s="406">
        <f>IF(ISNUMBER(Datos!N16),Datos!N16," - ")</f>
        <v>1816</v>
      </c>
      <c r="G16" s="407">
        <f t="shared" si="4"/>
        <v>454</v>
      </c>
      <c r="H16" s="406">
        <f>IF(ISNUMBER(Datos!O16),Datos!O16," - ")</f>
        <v>16</v>
      </c>
      <c r="I16" s="407">
        <f t="shared" si="5"/>
        <v>4</v>
      </c>
    </row>
    <row r="17" spans="1:9" ht="13.5" thickBot="1">
      <c r="A17" s="405" t="str">
        <f>Datos!A17</f>
        <v>Jdos. Violencia contra la mujer</v>
      </c>
      <c r="B17" s="430">
        <f>Datos!AO17</f>
        <v>1</v>
      </c>
      <c r="C17" s="431">
        <f>Datos!AQ17</f>
        <v>0</v>
      </c>
      <c r="D17" s="406">
        <f>IF(ISNUMBER(Datos!M17),Datos!M17," - ")</f>
        <v>11</v>
      </c>
      <c r="E17" s="407">
        <f>IF(ISNUMBER(D17/B17),D17/B17," - ")</f>
        <v>11</v>
      </c>
      <c r="F17" s="406">
        <f>IF(ISNUMBER(Datos!N17),Datos!N17," - ")</f>
        <v>120</v>
      </c>
      <c r="G17" s="407">
        <f>IF(ISNUMBER(F17/B17),F17/B17," - ")</f>
        <v>120</v>
      </c>
      <c r="H17" s="406">
        <f>IF(ISNUMBER(Datos!O17),Datos!O17," - ")</f>
        <v>0</v>
      </c>
      <c r="I17" s="407">
        <f t="shared" si="5"/>
        <v>0</v>
      </c>
    </row>
    <row r="18" spans="1:9" ht="14.25" thickTop="1" thickBot="1">
      <c r="A18" s="851" t="str">
        <f>Datos!A18</f>
        <v>TOTAL</v>
      </c>
      <c r="B18" s="852">
        <f>Datos!AO18</f>
        <v>5</v>
      </c>
      <c r="C18" s="854">
        <f>Datos!AR18</f>
        <v>4</v>
      </c>
      <c r="D18" s="852">
        <f>SUBTOTAL(9,D15:D17)</f>
        <v>456</v>
      </c>
      <c r="E18" s="853">
        <f t="shared" si="3"/>
        <v>91.2</v>
      </c>
      <c r="F18" s="852">
        <f>SUBTOTAL(9,F15:F17)</f>
        <v>1936</v>
      </c>
      <c r="G18" s="853">
        <f t="shared" si="4"/>
        <v>387.2</v>
      </c>
      <c r="H18" s="852">
        <f>SUBTOTAL(9,H15:H17)</f>
        <v>16</v>
      </c>
      <c r="I18" s="853">
        <f>IF(ISNUMBER(H18/B18),H18/B18," - ")</f>
        <v>3.2</v>
      </c>
    </row>
    <row r="19" spans="1:9" ht="14.25" thickTop="1" thickBot="1">
      <c r="A19" s="796" t="str">
        <f>Datos!A19</f>
        <v>TOTAL JURISDICCIONES</v>
      </c>
      <c r="B19" s="797">
        <f>Datos!AP19</f>
        <v>4</v>
      </c>
      <c r="C19" s="797">
        <f>Datos!AR19</f>
        <v>4</v>
      </c>
      <c r="D19" s="797">
        <f>SUBTOTAL(9,D8:D18)</f>
        <v>1502</v>
      </c>
      <c r="E19" s="798">
        <f>IF(ISNUMBER(D19/B19),D19/B19," - ")</f>
        <v>375.5</v>
      </c>
      <c r="F19" s="797">
        <f>SUBTOTAL(9,F8:F18)</f>
        <v>4076</v>
      </c>
      <c r="G19" s="798">
        <f>IF(ISNUMBER(F19/B19),F19/B19," - ")</f>
        <v>1019</v>
      </c>
      <c r="H19" s="797">
        <f>SUBTOTAL(9,H8:H18)</f>
        <v>2095</v>
      </c>
      <c r="I19" s="798">
        <f>IF(ISNUMBER(H19/B19),H19/B19," - ")</f>
        <v>523.75</v>
      </c>
    </row>
    <row r="22" spans="1:9">
      <c r="A22" s="394" t="str">
        <f>Criterios!A4</f>
        <v>Fecha Informe: 03 may. 2024</v>
      </c>
    </row>
    <row r="27" spans="1:9">
      <c r="A27" s="417"/>
    </row>
  </sheetData>
  <sheetProtection algorithmName="SHA-512" hashValue="+AdBgE00SXa8aFueZaeSZT19Tzb3vZ6oqMGidXBZS0oJJ/82bSrN3VVBk2WWl1eGE7J1Z2i3zsWQDVlHuKHHbg==" saltValue="hemYKzApgMItHgtVRr+q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SAN VICENTE DEL RASPEIG-SANT VICENT DEL RASPEIG</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2</v>
      </c>
      <c r="D10" s="411">
        <f>IF(ISNUMBER(Datos!R10),Datos!R10," - ")</f>
        <v>89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1345</v>
      </c>
      <c r="C12" s="437">
        <f>IF(ISNUMBER(Datos!Q12),Datos!Q12," - ")</f>
        <v>796</v>
      </c>
      <c r="D12" s="411">
        <f>IF(ISNUMBER(Datos!R12),Datos!R12," - ")</f>
        <v>5359</v>
      </c>
    </row>
    <row r="13" spans="1:4" ht="14.25" thickTop="1" thickBot="1">
      <c r="A13" s="851" t="str">
        <f>Datos!A13</f>
        <v>TOTAL</v>
      </c>
      <c r="B13" s="852">
        <f>SUBTOTAL(9,B9:B12)</f>
        <v>1348</v>
      </c>
      <c r="C13" s="856">
        <f>SUBTOTAL(9,C9:C12)</f>
        <v>798</v>
      </c>
      <c r="D13" s="854">
        <f>SUBTOTAL(9,D9:D12)</f>
        <v>5448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196</v>
      </c>
      <c r="C16" s="437">
        <f>IF(ISNUMBER(Datos!Q16),Datos!Q16," - ")</f>
        <v>196</v>
      </c>
      <c r="D16" s="411">
        <f>IF(ISNUMBER(Datos!R16),Datos!R16," - ")</f>
        <v>292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196</v>
      </c>
      <c r="C18" s="856">
        <f>SUBTOTAL(9,C15:C17)</f>
        <v>196</v>
      </c>
      <c r="D18" s="854">
        <f>SUBTOTAL(9,D15:D17)</f>
        <v>292</v>
      </c>
    </row>
    <row r="19" spans="1:4" ht="16.5" customHeight="1" thickTop="1" thickBot="1">
      <c r="A19" s="796" t="str">
        <f>Datos!A19</f>
        <v>TOTAL JURISDICCIONES</v>
      </c>
      <c r="B19" s="801">
        <f>SUBTOTAL(9,B8:B18)</f>
        <v>1544</v>
      </c>
      <c r="C19" s="802">
        <f>SUBTOTAL(9,C8:C18)</f>
        <v>994</v>
      </c>
      <c r="D19" s="803">
        <f>SUBTOTAL(9,D8:D18)</f>
        <v>5740</v>
      </c>
    </row>
    <row r="20" spans="1:4" ht="7.5" customHeight="1"/>
    <row r="21" spans="1:4" ht="6" customHeight="1"/>
    <row r="22" spans="1:4">
      <c r="A22" s="394" t="str">
        <f>Criterios!A4</f>
        <v>Fecha Informe: 03 may. 2024</v>
      </c>
    </row>
    <row r="27" spans="1:4">
      <c r="A27" s="417"/>
    </row>
  </sheetData>
  <sheetProtection algorithmName="SHA-512" hashValue="Q7kPzZ4bm0ZkKvkA63qZ2y3EUTjAk08JOzgKQAGgm+isvHUaeGMvU/ynkBK/UkNLKlowKb+7/sv6+3ySPmXhww==" saltValue="QvET9CR/nWwIasKtv6Ha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SAN VICENTE DEL RASPEIG-SANT VICENT DEL RASPEIG</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-1</v>
      </c>
      <c r="D10" s="459">
        <f>IF(ISNUMBER((Datos!K10-Datos!U10)/Datos!U10),(Datos!K10-Datos!U10)/Datos!U10," - ")</f>
        <v>-0.7407407407407407</v>
      </c>
      <c r="E10" s="459">
        <f>IF(ISNUMBER((Datos!L10-Datos!V10)/Datos!V10),(Datos!L10-Datos!V10)/Datos!V10," - ")</f>
        <v>-0.48275862068965519</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f>IF(ISNUMBER(((NºAsuntos!I10/NºAsuntos!G10)-Datos!BE10)/Datos!BE10),((NºAsuntos!I10/NºAsuntos!G10)-Datos!BE10)/Datos!BE10," - ")</f>
        <v>0.99507389162561555</v>
      </c>
      <c r="J10" s="464">
        <f>IF(ISNUMBER((('Resol  Asuntos'!D10/NºAsuntos!G10)-Datos!BF10)/Datos!BF10),(('Resol  Asuntos'!D10/NºAsuntos!G10)-Datos!BF10)/Datos!BF10," - ")</f>
        <v>-1</v>
      </c>
      <c r="K10" s="465">
        <f>IF(ISNUMBER((((NºAsuntos!C10+NºAsuntos!E10)/NºAsuntos!G10)-Datos!BG10)/Datos!BG10),(((NºAsuntos!C10+NºAsuntos!E10)/NºAsuntos!G10)-Datos!BG10)/Datos!BG10," - ")</f>
        <v>0.34767641996557674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1.2715712988192553E-2</v>
      </c>
      <c r="C12" s="459">
        <f>IF(ISNUMBER(
   IF(J_V="SI",(Datos!J12-Datos!T12)/Datos!T12,(Datos!J12+Datos!Z12-(Datos!T12+Datos!AH12))/(Datos!T12+Datos!AH12))
     ),IF(J_V="SI",(Datos!J12-Datos!T12)/Datos!T12,(Datos!J12+Datos!Z12-(Datos!T12+Datos!AH12))/(Datos!T12+Datos!AH12))," - ")</f>
        <v>6.1682650392327815E-2</v>
      </c>
      <c r="D12" s="459">
        <f>IF(ISNUMBER(
   IF(J_V="SI",(Datos!K12-Datos!U12)/Datos!U12,(Datos!K12+Datos!AA12-(Datos!U12+Datos!AI12))/(Datos!U12+Datos!AI12))
     ),IF(J_V="SI",(Datos!K12-Datos!U12)/Datos!U12,(Datos!K12+Datos!AA12-(Datos!U12+Datos!AI12))/(Datos!U12+Datos!AI12))," - ")</f>
        <v>6.5603235228038639E-2</v>
      </c>
      <c r="E12" s="459">
        <f>IF(ISNUMBER(
   IF(J_V="SI",(Datos!L12-Datos!V12)/Datos!V12,(Datos!L12+Datos!AB12-(Datos!V12+Datos!AJ12))/(Datos!V12+Datos!AJ12))
     ),IF(J_V="SI",(Datos!L12-Datos!V12)/Datos!V12,(Datos!L12+Datos!AB12-(Datos!V12+Datos!AJ12))/(Datos!V12+Datos!AJ12))," - ")</f>
        <v>1.6143497757847534E-2</v>
      </c>
      <c r="F12" s="459">
        <f>IF(ISNUMBER((Datos!M12-Datos!W12)/Datos!W12),(Datos!M12-Datos!W12)/Datos!W12," - ")</f>
        <v>1.6520894071914479E-2</v>
      </c>
      <c r="G12" s="460">
        <f>IF(ISNUMBER((Datos!N12-Datos!X12)/Datos!X12),(Datos!N12-Datos!X12)/Datos!X12," - ")</f>
        <v>0.39595564253098497</v>
      </c>
      <c r="H12" s="458">
        <f>IF(ISNUMBER(((NºAsuntos!G12/NºAsuntos!E12)-Datos!BD12)/Datos!BD12),((NºAsuntos!G12/NºAsuntos!E12)-Datos!BD12)/Datos!BD12," - ")</f>
        <v>3.6928029616591219E-3</v>
      </c>
      <c r="I12" s="459">
        <f>IF(ISNUMBER(((NºAsuntos!I12/NºAsuntos!G12)-Datos!BE12)/Datos!BE12),((NºAsuntos!I12/NºAsuntos!G12)-Datos!BE12)/Datos!BE12," - ")</f>
        <v>-4.641477787894175E-2</v>
      </c>
      <c r="J12" s="464">
        <f>IF(ISNUMBER((('Resol  Asuntos'!D12/NºAsuntos!G12)-Datos!BF12)/Datos!BF12),(('Resol  Asuntos'!D12/NºAsuntos!G12)-Datos!BF12)/Datos!BF12," - ")</f>
        <v>-0.35968452289837222</v>
      </c>
      <c r="K12" s="465">
        <f>IF(ISNUMBER((((NºAsuntos!C12+NºAsuntos!E12)/NºAsuntos!G12)-Datos!BG12)/Datos!BG12),(((NºAsuntos!C12+NºAsuntos!E12)/NºAsuntos!G12)-Datos!BG12)/Datos!BG12," - ")</f>
        <v>-2.2913851019850218E-2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1.2605042016806723E-2</v>
      </c>
      <c r="C13" s="858">
        <f>IF(ISNUMBER(
   IF(J_V="SI",(Datos!J13-Datos!T13)/Datos!T13,(Datos!J13+Datos!Z13-(Datos!T13+Datos!AH13))/(Datos!T13+Datos!AH13))
     ),IF(J_V="SI",(Datos!J13-Datos!T13)/Datos!T13,(Datos!J13+Datos!Z13-(Datos!T13+Datos!AH13))/(Datos!T13+Datos!AH13))," - ")</f>
        <v>4.933218440327445E-2</v>
      </c>
      <c r="D13" s="858">
        <f>IF(ISNUMBER(
   IF(J_V="SI",(Datos!K13-Datos!U13)/Datos!U13,(Datos!K13+Datos!AA13-(Datos!U13+Datos!AI13))/(Datos!U13+Datos!AI13))
     ),IF(J_V="SI",(Datos!K13-Datos!U13)/Datos!U13,(Datos!K13+Datos!AA13-(Datos!U13+Datos!AI13))/(Datos!U13+Datos!AI13))," - ")</f>
        <v>5.5937846836847945E-2</v>
      </c>
      <c r="E13" s="858">
        <f>IF(ISNUMBER(
   IF(J_V="SI",(Datos!L13-Datos!V13)/Datos!V13,(Datos!L13+Datos!AB13-(Datos!V13+Datos!AJ13))/(Datos!V13+Datos!AJ13))
     ),IF(J_V="SI",(Datos!L13-Datos!V13)/Datos!V13,(Datos!L13+Datos!AB13-(Datos!V13+Datos!AJ13))/(Datos!V13+Datos!AJ13))," - ")</f>
        <v>1.1855364552459988E-2</v>
      </c>
      <c r="F13" s="859">
        <f>IF(ISNUMBER((Datos!M13-Datos!W13)/Datos!W13),(Datos!M13-Datos!W13)/Datos!W13," - ")</f>
        <v>-2.859866539561487E-3</v>
      </c>
      <c r="G13" s="860">
        <f>IF(ISNUMBER((Datos!N13-Datos!X13)/Datos!X13),(Datos!N13-Datos!X13)/Datos!X13," - ")</f>
        <v>0.38870863075924722</v>
      </c>
      <c r="H13" s="860">
        <f>IF(ISNUMBER(((NºAsuntos!G13/NºAsuntos!E13)-Datos!BD13)/Datos!BD13),((NºAsuntos!G13/NºAsuntos!E13)-Datos!BD13)/Datos!BD13," - ")</f>
        <v>6.295110863610706E-3</v>
      </c>
      <c r="I13" s="860">
        <f>IF(ISNUMBER(((NºAsuntos!I13/NºAsuntos!G13)-Datos!BE13)/Datos!BE13),((NºAsuntos!I13/NºAsuntos!G13)-Datos!BE13)/Datos!BE13," - ")</f>
        <v>-4.1747232014119715E-2</v>
      </c>
      <c r="J13" s="860">
        <f>IF(ISNUMBER((('Resol  Asuntos'!D13/NºAsuntos!G13)-Datos!BF13)/Datos!BF13),(('Resol  Asuntos'!D13/NºAsuntos!G13)-Datos!BF13)/Datos!BF13," - ")</f>
        <v>-0.36214513440795076</v>
      </c>
      <c r="K13" s="860">
        <f>IF(ISNUMBER((((NºAsuntos!C13+NºAsuntos!E13)/NºAsuntos!G13)-Datos!BG13)/Datos!BG13),(((NºAsuntos!C13+NºAsuntos!E13)/NºAsuntos!G13)-Datos!BG13)/Datos!BG13," - ")</f>
        <v>-2.078947561285337E-2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4.8178613396004703E-2</v>
      </c>
      <c r="C16" s="459">
        <f>IF(ISNUMBER(
   IF(D_I="SI",(Datos!J16-Datos!T16)/Datos!T16,(Datos!J16+Datos!AD16-(Datos!T16+Datos!AL16))/(Datos!T16+Datos!AL16))
     ),IF(D_I="SI",(Datos!J16-Datos!T16)/Datos!T16,(Datos!J16+Datos!AD16-(Datos!T16+Datos!AL16))/(Datos!T16+Datos!AL16))," - ")</f>
        <v>2.8788358114520723E-2</v>
      </c>
      <c r="D16" s="459">
        <f>IF(ISNUMBER(
   IF(D_I="SI",(Datos!K16-Datos!U16)/Datos!U16,(Datos!K16+Datos!AE16-(Datos!U16+Datos!AM16))/(Datos!U16+Datos!AM16))
     ),IF(D_I="SI",(Datos!K16-Datos!U16)/Datos!U16,(Datos!K16+Datos!AE16-(Datos!U16+Datos!AM16))/(Datos!U16+Datos!AM16))," - ")</f>
        <v>-2.1207177814029365E-2</v>
      </c>
      <c r="E16" s="459">
        <f>IF(ISNUMBER(
   IF(D_I="SI",(Datos!L16-Datos!V16)/Datos!V16,(Datos!L16+Datos!AF16-(Datos!V16+Datos!AN16))/(Datos!V16+Datos!AN16))
     ),IF(D_I="SI",(Datos!L16-Datos!V16)/Datos!V16,(Datos!L16+Datos!AF16-(Datos!V16+Datos!AN16))/(Datos!V16+Datos!AN16))," - ")</f>
        <v>0.34753363228699552</v>
      </c>
      <c r="F16" s="459">
        <f>IF(ISNUMBER((Datos!M16-Datos!W16)/Datos!W16),(Datos!M16-Datos!W16)/Datos!W16," - ")</f>
        <v>-0.16510318949343339</v>
      </c>
      <c r="G16" s="460">
        <f>IF(ISNUMBER((Datos!N16-Datos!X16)/Datos!X16),(Datos!N16-Datos!X16)/Datos!X16," - ")</f>
        <v>0.10596833130328867</v>
      </c>
      <c r="H16" s="458">
        <f>IF(ISNUMBER(((NºAsuntos!G16/NºAsuntos!E16)-Datos!BD16)/Datos!BD16),((NºAsuntos!G16/NºAsuntos!E16)-Datos!BD16)/Datos!BD16," - ")</f>
        <v>-4.8596521854288664E-2</v>
      </c>
      <c r="I16" s="459">
        <f>IF(ISNUMBER(((NºAsuntos!I16/NºAsuntos!G16)-Datos!BE16)/Datos!BE16),((NºAsuntos!I16/NºAsuntos!G16)-Datos!BE16)/Datos!BE16," - ")</f>
        <v>0.37673019431988042</v>
      </c>
      <c r="J16" s="464">
        <f>IF(ISNUMBER((('Resol  Asuntos'!D16/NºAsuntos!G16)-Datos!BF16)/Datos!BF16),(('Resol  Asuntos'!D16/NºAsuntos!G16)-Datos!BF16)/Datos!BF16," - ")</f>
        <v>-0.14701375859912444</v>
      </c>
      <c r="K16" s="465">
        <f>IF(ISNUMBER((((NºAsuntos!C16+NºAsuntos!E16)/NºAsuntos!G16)-Datos!BG16)/Datos!BG16),(((NºAsuntos!C16+NºAsuntos!E16)/NºAsuntos!G16)-Datos!BG16)/Datos!BG16," - ")</f>
        <v>5.5280824194084324E-2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1.7751479289940829E-2</v>
      </c>
      <c r="C17" s="459">
        <f>IF(ISNUMBER(
   IF(D_I="SI",(Datos!J17-Datos!T17)/Datos!T17,(Datos!J17+Datos!AD17-(Datos!T17+Datos!AL17))/(Datos!T17+Datos!AL17))
     ),IF(D_I="SI",(Datos!J17-Datos!T17)/Datos!T17,(Datos!J17+Datos!AD17-(Datos!T17+Datos!AL17))/(Datos!T17+Datos!AL17))," - ")</f>
        <v>-0.71691792294807366</v>
      </c>
      <c r="D17" s="459">
        <f>IF(ISNUMBER(
   IF(D_I="SI",(Datos!K17-Datos!U17)/Datos!U17,(Datos!K17+Datos!AE17-(Datos!U17+Datos!AM17))/(Datos!U17+Datos!AM17))
     ),IF(D_I="SI",(Datos!K17-Datos!U17)/Datos!U17,(Datos!K17+Datos!AE17-(Datos!U17+Datos!AM17))/(Datos!U17+Datos!AM17))," - ")</f>
        <v>-0.61616161616161613</v>
      </c>
      <c r="E17" s="459">
        <f>IF(ISNUMBER(
   IF(D_I="SI",(Datos!L17-Datos!V17)/Datos!V17,(Datos!L17+Datos!AF17-(Datos!V17+Datos!AN17))/(Datos!V17+Datos!AN17))
     ),IF(D_I="SI",(Datos!L17-Datos!V17)/Datos!V17,(Datos!L17+Datos!AF17-(Datos!V17+Datos!AN17))/(Datos!V17+Datos!AN17))," - ")</f>
        <v>-0.15697674418604651</v>
      </c>
      <c r="F17" s="459">
        <f>IF(ISNUMBER((Datos!M17-Datos!W17)/Datos!W17),(Datos!M17-Datos!W17)/Datos!W17," - ")</f>
        <v>-0.81034482758620685</v>
      </c>
      <c r="G17" s="460">
        <f>IF(ISNUMBER((Datos!N17-Datos!X17)/Datos!X17),(Datos!N17-Datos!X17)/Datos!X17," - ")</f>
        <v>-0.63746223564954685</v>
      </c>
      <c r="H17" s="458">
        <f>IF(ISNUMBER(((NºAsuntos!G17/NºAsuntos!E17)-Datos!BD17)/Datos!BD17),((NºAsuntos!G17/NºAsuntos!E17)-Datos!BD17)/Datos!BD17," - ")</f>
        <v>0.35592612515689442</v>
      </c>
      <c r="I17" s="459">
        <f>IF(ISNUMBER(((NºAsuntos!I17/NºAsuntos!G17)-Datos!BE17)/Datos!BE17),((NºAsuntos!I17/NºAsuntos!G17)-Datos!BE17)/Datos!BE17," - ")</f>
        <v>1.1962974296205628</v>
      </c>
      <c r="J17" s="464">
        <f>IF(ISNUMBER((('Resol  Asuntos'!D17/NºAsuntos!G17)-Datos!BF17)/Datos!BF17),(('Resol  Asuntos'!D17/NºAsuntos!G17)-Datos!BF17)/Datos!BF17," - ")</f>
        <v>-0.5058983666061706</v>
      </c>
      <c r="K17" s="465">
        <f>IF(ISNUMBER((((NºAsuntos!C17+NºAsuntos!E17)/NºAsuntos!G17)-Datos!BG17)/Datos!BG17),(((NºAsuntos!C17+NºAsuntos!E17)/NºAsuntos!G17)-Datos!BG17)/Datos!BG17," - ")</f>
        <v>0.15978425175209571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4.3137254901960784E-2</v>
      </c>
      <c r="C18" s="858">
        <f>IF(ISNUMBER(
   IF(Criterios!B14="SI",(Datos!J18-Datos!T18)/Datos!T18,(Datos!J18+Datos!AD18-(Datos!T18+Datos!AL18))/(Datos!T18+Datos!AL18))
     ),IF(Criterios!B14="SI",(Datos!J18-Datos!T18)/Datos!T18,(Datos!J18+Datos!AD18-(Datos!T18+Datos!AL18))/(Datos!T18+Datos!AL18))," - ")</f>
        <v>-8.9675359233634913E-2</v>
      </c>
      <c r="D18" s="858">
        <f>IF(ISNUMBER(
   IF(Criterios!B14="SI",(Datos!K18-Datos!U18)/Datos!U18,(Datos!K18+Datos!AE18-(Datos!U18+Datos!AM18))/(Datos!U18+Datos!AM18))
     ),IF(Criterios!B14="SI",(Datos!K18-Datos!U18)/Datos!U18,(Datos!K18+Datos!AE18-(Datos!U18+Datos!AM18))/(Datos!U18+Datos!AM18))," - ")</f>
        <v>-0.11779174637879201</v>
      </c>
      <c r="E18" s="858">
        <f>IF(ISNUMBER(
   IF(Criterios!B14="SI",(Datos!L18-Datos!V18)/Datos!V18,(Datos!L18+Datos!AF18-(Datos!V18+Datos!AN18))/(Datos!V18+Datos!AN18))
     ),IF(Criterios!B14="SI",(Datos!L18-Datos!V18)/Datos!V18,(Datos!L18+Datos!AF18-(Datos!V18+Datos!AN18))/(Datos!V18+Datos!AN18))," - ")</f>
        <v>0.26597744360902253</v>
      </c>
      <c r="F18" s="859">
        <f>IF(ISNUMBER((Datos!M18-Datos!W18)/Datos!W18),(Datos!M18-Datos!W18)/Datos!W18," - ")</f>
        <v>-0.22842639593908629</v>
      </c>
      <c r="G18" s="860">
        <f>IF(ISNUMBER((Datos!N18-Datos!X18)/Datos!X18),(Datos!N18-Datos!X18)/Datos!X18," - ")</f>
        <v>-1.8753167764825138E-2</v>
      </c>
      <c r="H18" s="860">
        <f>IF(ISNUMBER(((NºAsuntos!G18/NºAsuntos!E18)-Datos!BD18)/Datos!BD18),((NºAsuntos!G18/NºAsuntos!E18)-Datos!BD18)/Datos!BD18," - ")</f>
        <v>-3.088611016997965E-2</v>
      </c>
      <c r="I18" s="860">
        <f>IF(ISNUMBER(((NºAsuntos!I18/NºAsuntos!G18)-Datos!BE18)/Datos!BE18),((NºAsuntos!I18/NºAsuntos!G18)-Datos!BE18)/Datos!BE18," - ")</f>
        <v>0.43500974788271779</v>
      </c>
      <c r="J18" s="860">
        <f>IF(ISNUMBER((('Resol  Asuntos'!D18/NºAsuntos!G18)-Datos!BF18)/Datos!BF18),(('Resol  Asuntos'!D18/NºAsuntos!G18)-Datos!BF18)/Datos!BF18," - ")</f>
        <v>-0.12540650022959007</v>
      </c>
      <c r="K18" s="860">
        <f>IF(ISNUMBER((((NºAsuntos!C18+NºAsuntos!E18)/NºAsuntos!G18)-Datos!BG18)/Datos!BG18),(((NºAsuntos!C18+NºAsuntos!E18)/NºAsuntos!G18)-Datos!BG18)/Datos!BG18," - ")</f>
        <v>6.4008715597044116E-2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1.9761029411764705E-2</v>
      </c>
      <c r="C19" s="805">
        <f>IF(ISNUMBER(
   IF(J_V="SI",(Datos!J19-Datos!T19)/Datos!T19,(Datos!J19+Datos!Z19-(Datos!T19+Datos!AH19))/(Datos!T19+Datos!AH19))
     ),IF(J_V="SI",(Datos!J19-Datos!T19)/Datos!T19,(Datos!J19+Datos!Z19-(Datos!T19+Datos!AH19))/(Datos!T19+Datos!AH19))," - ")</f>
        <v>-1.2857142857142857E-2</v>
      </c>
      <c r="D19" s="805">
        <f>IF(ISNUMBER(
   IF(J_V="SI",(Datos!K19-Datos!U19)/Datos!U19,(Datos!K19+Datos!AA19-(Datos!U19+Datos!AI19))/(Datos!U19+Datos!AI19))
     ),IF(J_V="SI",(Datos!K19-Datos!U19)/Datos!U19,(Datos!K19+Datos!AA19-(Datos!U19+Datos!AI19))/(Datos!U19+Datos!AI19))," - ")</f>
        <v>-2.1925526702596766E-2</v>
      </c>
      <c r="E19" s="805">
        <f>IF(ISNUMBER(
   IF(J_V="SI",(Datos!L19-Datos!V19)/Datos!V19,(Datos!L19+Datos!AB19-(Datos!V19+Datos!AJ19))/(Datos!V19+Datos!AJ19))
     ),IF(J_V="SI",(Datos!L19-Datos!V19)/Datos!V19,(Datos!L19+Datos!AB19-(Datos!V19+Datos!AJ19))/(Datos!V19+Datos!AJ19))," - ")</f>
        <v>7.2780531771068052E-2</v>
      </c>
      <c r="F19" s="806">
        <f>IF(ISNUMBER((Datos!M19-Datos!W19)/Datos!W19),(Datos!M19-Datos!W19)/Datos!W19," - ")</f>
        <v>-8.4146341463414639E-2</v>
      </c>
      <c r="G19" s="807">
        <f>IF(ISNUMBER((Datos!N19-Datos!X19)/Datos!X19),(Datos!N19-Datos!X19)/Datos!X19," - ")</f>
        <v>0.15993170176437108</v>
      </c>
      <c r="H19" s="808">
        <f>IF(ISNUMBER((Tasas!B19-Datos!BD19)/Datos!BD19),(Tasas!B19-Datos!BD19)/Datos!BD19," - ")</f>
        <v>-9.1864959360603831E-3</v>
      </c>
      <c r="I19" s="809">
        <f>IF(ISNUMBER((Tasas!C19-Datos!BE19)/Datos!BE19),(Tasas!C19-Datos!BE19)/Datos!BE19," - ")</f>
        <v>9.6829087210895393E-2</v>
      </c>
      <c r="J19" s="810">
        <f>IF(ISNUMBER((Tasas!D19-Datos!BF19)/Datos!BF19),(Tasas!D19-Datos!BF19)/Datos!BF19," - ")</f>
        <v>-0.28373582930681596</v>
      </c>
      <c r="K19" s="810">
        <f>IF(ISNUMBER((Tasas!E19-Datos!BG19)/Datos!BG19),(Tasas!E19-Datos!BG19)/Datos!BG19," - ")</f>
        <v>2.0653138059206055E-2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TkMoh8owEgdzhdB8SvijBRY5Ive5lWJB9bdc9+XsEIS0NrvTpbCLmHhV+0S4LvMGLvZC/ydV4jEE9Lvh/TjEw==" saltValue="iu+wQIThGX0VX9w1vcH8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SAN VICENTE DEL RASPEIG-SANT VICENT DEL RASPEIG</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1.0714285714285714</v>
      </c>
      <c r="D10" s="447">
        <f>IF(ISNUMBER('Resol  Asuntos'!D10/NºAsuntos!G10),'Resol  Asuntos'!D10/NºAsuntos!G10," - ")</f>
        <v>0</v>
      </c>
      <c r="E10" s="448">
        <f>IF(ISNUMBER((NºAsuntos!C10+NºAsuntos!E10)/NºAsuntos!G10),(NºAsuntos!C10+NºAsuntos!E10)/NºAsuntos!G10," - ")</f>
        <v>2.0714285714285716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0.97372202833093824</v>
      </c>
      <c r="C12" s="446">
        <f>IF(ISNUMBER(NºAsuntos!I12/NºAsuntos!G12),NºAsuntos!I12/NºAsuntos!G12," - ")</f>
        <v>0.71663504111321952</v>
      </c>
      <c r="D12" s="447">
        <f>IF(ISNUMBER('Resol  Asuntos'!D12/NºAsuntos!G12),'Resol  Asuntos'!D12/NºAsuntos!G12," - ")</f>
        <v>0.22053552603837234</v>
      </c>
      <c r="E12" s="448">
        <f>IF(ISNUMBER((NºAsuntos!C12+NºAsuntos!E12)/NºAsuntos!G12),(NºAsuntos!C12+NºAsuntos!E12)/NºAsuntos!G12," - ")</f>
        <v>1.7322369808138309</v>
      </c>
      <c r="G12" s="466"/>
    </row>
    <row r="13" spans="1:7" ht="14.25" thickTop="1" thickBot="1">
      <c r="A13" s="851" t="str">
        <f>Datos!A13</f>
        <v>TOTAL</v>
      </c>
      <c r="B13" s="861">
        <f>IF(ISNUMBER(NºAsuntos!G13/NºAsuntos!E13),NºAsuntos!G13/NºAsuntos!E13," - ")</f>
        <v>0.97659618148224181</v>
      </c>
      <c r="C13" s="862">
        <f>IF(ISNUMBER(NºAsuntos!I13/NºAsuntos!G13),NºAsuntos!I13/NºAsuntos!G13," - ")</f>
        <v>0.7176792095858735</v>
      </c>
      <c r="D13" s="863">
        <f>IF(ISNUMBER('Resol  Asuntos'!D13/NºAsuntos!G13),'Resol  Asuntos'!D13/NºAsuntos!G13," - ")</f>
        <v>0.21988648307756989</v>
      </c>
      <c r="E13" s="864">
        <f>IF(ISNUMBER((NºAsuntos!C13+NºAsuntos!E13)/NºAsuntos!G13),(NºAsuntos!C13+NºAsuntos!E13)/NºAsuntos!G13," - ")</f>
        <v>1.7332352322892579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0.92250922509225097</v>
      </c>
      <c r="C16" s="446">
        <f>IF(ISNUMBER(NºAsuntos!I16/NºAsuntos!G16),NºAsuntos!I16/NºAsuntos!G16," - ")</f>
        <v>0.40066666666666667</v>
      </c>
      <c r="D16" s="447">
        <f>IF(ISNUMBER('Resol  Asuntos'!D16/NºAsuntos!G16),'Resol  Asuntos'!D16/NºAsuntos!G16," - ")</f>
        <v>0.14833333333333334</v>
      </c>
      <c r="E16" s="448">
        <f>IF(ISNUMBER((NºAsuntos!C16+NºAsuntos!E16)/NºAsuntos!G16),(NºAsuntos!C16+NºAsuntos!E16)/NºAsuntos!G16," - ")</f>
        <v>1.3813333333333333</v>
      </c>
      <c r="G16" s="466"/>
    </row>
    <row r="17" spans="1:7" ht="13.5" thickBot="1">
      <c r="A17" s="405" t="str">
        <f>Datos!A17</f>
        <v>Jdos. Violencia contra la mujer</v>
      </c>
      <c r="B17" s="445">
        <f>IF(ISNUMBER(NºAsuntos!G17/NºAsuntos!E17),NºAsuntos!G17/NºAsuntos!E17," - ")</f>
        <v>1.349112426035503</v>
      </c>
      <c r="C17" s="446">
        <f>IF(ISNUMBER(NºAsuntos!I17/NºAsuntos!G17),NºAsuntos!I17/NºAsuntos!G17," - ")</f>
        <v>0.63596491228070173</v>
      </c>
      <c r="D17" s="447">
        <f>IF(ISNUMBER('Resol  Asuntos'!D17/NºAsuntos!G17),'Resol  Asuntos'!D17/NºAsuntos!G17," - ")</f>
        <v>4.8245614035087717E-2</v>
      </c>
      <c r="E17" s="448">
        <f>IF(ISNUMBER((NºAsuntos!C17+NºAsuntos!E17)/NºAsuntos!G17),(NºAsuntos!C17+NºAsuntos!E17)/NºAsuntos!G17," - ")</f>
        <v>1.4956140350877194</v>
      </c>
      <c r="G17" s="466"/>
    </row>
    <row r="18" spans="1:7" ht="14.25" thickTop="1" thickBot="1">
      <c r="A18" s="851" t="str">
        <f>Datos!A18</f>
        <v>TOTAL</v>
      </c>
      <c r="B18" s="861">
        <f>IF(ISNUMBER(NºAsuntos!G18/NºAsuntos!E18),NºAsuntos!G18/NºAsuntos!E18," - ")</f>
        <v>0.94358374744226836</v>
      </c>
      <c r="C18" s="862">
        <f>IF(ISNUMBER(NºAsuntos!I18/NºAsuntos!G18),NºAsuntos!I18/NºAsuntos!G18," - ")</f>
        <v>0.41728624535315983</v>
      </c>
      <c r="D18" s="865">
        <f>IF(ISNUMBER('Resol  Asuntos'!D18/NºAsuntos!G18),'Resol  Asuntos'!D18/NºAsuntos!G18," - ")</f>
        <v>0.14126394052044611</v>
      </c>
      <c r="E18" s="864">
        <f>IF(ISNUMBER((NºAsuntos!C18+NºAsuntos!E18)/NºAsuntos!G18),(NºAsuntos!C18+NºAsuntos!E18)/NºAsuntos!G18," - ")</f>
        <v>1.3894052044609666</v>
      </c>
      <c r="G18" s="466"/>
    </row>
    <row r="19" spans="1:7" ht="15.75" customHeight="1" thickTop="1" thickBot="1">
      <c r="A19" s="796" t="str">
        <f>Datos!A19</f>
        <v>TOTAL JURISDICCIONES</v>
      </c>
      <c r="B19" s="811">
        <f>IF(ISNUMBER(NºAsuntos!G19/NºAsuntos!E19),NºAsuntos!G19/NºAsuntos!E19," - ")</f>
        <v>0.96297636275928611</v>
      </c>
      <c r="C19" s="812">
        <f>IF(ISNUMBER(NºAsuntos!I19/NºAsuntos!G19),NºAsuntos!I19/NºAsuntos!G19," - ")</f>
        <v>0.59624295554164053</v>
      </c>
      <c r="D19" s="813">
        <f>IF(ISNUMBER('Resol  Asuntos'!D19/NºAsuntos!G19),'Resol  Asuntos'!D19/NºAsuntos!G19," - ")</f>
        <v>0.18810269254852849</v>
      </c>
      <c r="E19" s="814">
        <f>IF(ISNUMBER((NºAsuntos!C19+NºAsuntos!E19)/NºAsuntos!G19),(NºAsuntos!C19+NºAsuntos!E19)/NºAsuntos!G19," - ")</f>
        <v>1.5942391984971822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hT+IRbUEPQ2iZem1sxI2XpGH1gTs3psYWRbGN05kT655KSpo34OHaxG1hqMqbUQLwbs2CGFq3CeiDwMgo2J0g==" saltValue="BgHhgA6R5QRTnYWYpQ8z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SAN VICENTE DEL RASPEIG-SANT VICENT DEL RASPEIG</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29</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2</v>
      </c>
      <c r="Y10" s="337">
        <f t="shared" ref="Y10:Y12" si="0">SUM(W10:X10)</f>
        <v>16</v>
      </c>
      <c r="Z10" s="338" t="str">
        <f>IF(ISNUMBER(Datos!CC10),Datos!CC10," - ")</f>
        <v xml:space="preserve"> - </v>
      </c>
      <c r="AA10" s="335">
        <f>IF(ISNUMBER(Datos!L10),Datos!L10,"-")</f>
        <v>15</v>
      </c>
      <c r="AB10" s="337">
        <f>IF(ISNUMBER(Datos!R10),Datos!R10," - ")</f>
        <v>89</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11.785714285714285</v>
      </c>
      <c r="AN10" s="247">
        <f>IF(ISNUMBER('Resol  Asuntos'!D10/NºAsuntos!G10),'Resol  Asuntos'!D10/NºAsuntos!G10," - ")</f>
        <v>0</v>
      </c>
      <c r="AO10" s="248">
        <f>IF(ISNUMBER((NºAsuntos!C10+NºAsuntos!E10)/NºAsuntos!G10),(NºAsuntos!C10+NºAsuntos!E10)/NºAsuntos!G10," - ")</f>
        <v>2.0714285714285716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1345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796</v>
      </c>
      <c r="Y12" s="337">
        <f t="shared" si="0"/>
        <v>796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1046</v>
      </c>
      <c r="AJ12" s="232" t="str">
        <f>IF(ISNUMBER(Datos!BW12),Datos!BW12," - ")</f>
        <v xml:space="preserve"> - </v>
      </c>
      <c r="AK12" s="231" t="str">
        <f>IF(ISNUMBER(Datos!BX12),Datos!BX12," - ")</f>
        <v xml:space="preserve"> - </v>
      </c>
      <c r="AL12" s="246">
        <f>IF(ISNUMBER(NºAsuntos!G12/NºAsuntos!E12),NºAsuntos!G12/NºAsuntos!E12," - ")</f>
        <v>0.97372202833093824</v>
      </c>
      <c r="AM12" s="263">
        <f>IF(ISNUMBER(((NºAsuntos!I12/NºAsuntos!G12)*11)/factor_trimestre),((NºAsuntos!I12/NºAsuntos!G12)*11)/factor_trimestre," - ")</f>
        <v>7.882985452245415</v>
      </c>
      <c r="AN12" s="247">
        <f>IF(ISNUMBER('Resol  Asuntos'!D12/NºAsuntos!G12),'Resol  Asuntos'!D12/NºAsuntos!G12," - ")</f>
        <v>0.22053552603837234</v>
      </c>
      <c r="AO12" s="248">
        <f>IF(ISNUMBER((NºAsuntos!C12+NºAsuntos!E12)/NºAsuntos!G12),(NºAsuntos!C12+NºAsuntos!E12)/NºAsuntos!G12," - ")</f>
        <v>1.7322369808138309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29</v>
      </c>
      <c r="G13" s="869">
        <f t="shared" si="3"/>
        <v>29</v>
      </c>
      <c r="H13" s="868">
        <f t="shared" si="3"/>
        <v>0</v>
      </c>
      <c r="I13" s="870">
        <f t="shared" si="3"/>
        <v>0</v>
      </c>
      <c r="J13" s="870">
        <f t="shared" si="3"/>
        <v>0</v>
      </c>
      <c r="K13" s="870">
        <f t="shared" si="3"/>
        <v>0</v>
      </c>
      <c r="L13" s="870">
        <f t="shared" si="3"/>
        <v>1348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798</v>
      </c>
      <c r="Y13" s="871">
        <f t="shared" si="4"/>
        <v>812</v>
      </c>
      <c r="Z13" s="871">
        <f t="shared" si="4"/>
        <v>0</v>
      </c>
      <c r="AA13" s="871">
        <f t="shared" si="4"/>
        <v>15</v>
      </c>
      <c r="AB13" s="871">
        <f t="shared" si="4"/>
        <v>5448</v>
      </c>
      <c r="AC13" s="871">
        <f t="shared" si="4"/>
        <v>104</v>
      </c>
      <c r="AD13" s="871">
        <f t="shared" si="4"/>
        <v>0</v>
      </c>
      <c r="AE13" s="875">
        <f t="shared" si="4"/>
        <v>0</v>
      </c>
      <c r="AF13" s="868">
        <f t="shared" si="4"/>
        <v>0</v>
      </c>
      <c r="AG13" s="876">
        <f t="shared" si="4"/>
        <v>0</v>
      </c>
      <c r="AH13" s="873">
        <f t="shared" si="4"/>
        <v>0</v>
      </c>
      <c r="AI13" s="868">
        <f t="shared" si="4"/>
        <v>1046</v>
      </c>
      <c r="AJ13" s="870">
        <f t="shared" si="4"/>
        <v>0</v>
      </c>
      <c r="AK13" s="873">
        <f>SUBTOTAL(9,AK9:AK12)</f>
        <v>0</v>
      </c>
      <c r="AL13" s="877">
        <f>IF(ISNUMBER(NºAsuntos!G13/NºAsuntos!E13),NºAsuntos!G13/NºAsuntos!E13," - ")</f>
        <v>0.97659618148224181</v>
      </c>
      <c r="AM13" s="877">
        <f>IF(ISNUMBER(((NºAsuntos!I13/NºAsuntos!G13)*11)/factor_trimestre),((NºAsuntos!I13/NºAsuntos!G13)*11)/factor_trimestre," - ")</f>
        <v>7.8944713054446085</v>
      </c>
      <c r="AN13" s="878">
        <f>IF(ISNUMBER('Resol  Asuntos'!D13/NºAsuntos!G13),'Resol  Asuntos'!D13/NºAsuntos!G13," - ")</f>
        <v>0.21988648307756989</v>
      </c>
      <c r="AO13" s="879">
        <f>IF(ISNUMBER((NºAsuntos!C13+NºAsuntos!E13)/NºAsuntos!G13),(NºAsuntos!C13+NºAsuntos!E13)/NºAsuntos!G13," - ")</f>
        <v>1.7332352322892579</v>
      </c>
      <c r="AP13" s="880" t="str">
        <f t="shared" si="2"/>
        <v xml:space="preserve"> - </v>
      </c>
      <c r="AQ13" s="880">
        <f>IF(ISNUMBER((H13-W13+K13)/(F13)),(H13-W13+K13)/(F13)," - ")</f>
        <v>-0.48275862068965519</v>
      </c>
      <c r="AR13" s="881">
        <f>IF(ISNUMBER((Datos!P13-Datos!Q13)/(Datos!R13-Datos!P13+Datos!Q13)),(Datos!P13-Datos!Q13)/(Datos!R13-Datos!P13+Datos!Q13)," - ")</f>
        <v>0.11229073091057575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950</v>
      </c>
      <c r="G16" s="336">
        <f>IF(ISNUMBER(IF(D_I="SI",Datos!I16,Datos!I16+Datos!AC16)),IF(D_I="SI",Datos!I16,Datos!I16+Datos!AC16)," - ")</f>
        <v>892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3000</v>
      </c>
      <c r="X16" s="229">
        <f>IF(ISNUMBER(Datos!Q16),Datos!Q16," - ")</f>
        <v>196</v>
      </c>
      <c r="Y16" s="337">
        <f t="shared" ref="Y16:Y17" si="7">SUM(W16:X16)</f>
        <v>3196</v>
      </c>
      <c r="Z16" s="338" t="str">
        <f>IF(ISNUMBER(Datos!CC16),Datos!CC16," - ")</f>
        <v xml:space="preserve"> - </v>
      </c>
      <c r="AA16" s="335">
        <f>IF(ISNUMBER(IF(D_I="SI",Datos!L16,Datos!L16+Datos!AF16)),IF(D_I="SI",Datos!L16,Datos!L16+Datos!AF16)," - ")</f>
        <v>1202</v>
      </c>
      <c r="AB16" s="337">
        <f>IF(ISNUMBER(Datos!R16),Datos!R16," - ")</f>
        <v>292</v>
      </c>
      <c r="AC16" s="337">
        <f t="shared" si="6"/>
        <v>1494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445</v>
      </c>
      <c r="AJ16" s="234" t="str">
        <f>IF(ISNUMBER(Datos!BW16),Datos!BW16," - ")</f>
        <v xml:space="preserve"> - </v>
      </c>
      <c r="AK16" s="235" t="str">
        <f>IF(ISNUMBER(Datos!BX16),Datos!BX16," - ")</f>
        <v xml:space="preserve"> - </v>
      </c>
      <c r="AL16" s="246">
        <f>IF(ISNUMBER(NºAsuntos!G16/NºAsuntos!E16),NºAsuntos!G16/NºAsuntos!E16," - ")</f>
        <v>0.92250922509225097</v>
      </c>
      <c r="AM16" s="263">
        <f>IF(ISNUMBER(((NºAsuntos!I16/NºAsuntos!G16)*11)/factor_trimestre),((NºAsuntos!I16/NºAsuntos!G16)*11)/factor_trimestre," - ")</f>
        <v>4.4073333333333338</v>
      </c>
      <c r="AN16" s="247">
        <f>IF(ISNUMBER('Resol  Asuntos'!D16/NºAsuntos!G16),'Resol  Asuntos'!D16/NºAsuntos!G16," - ")</f>
        <v>0.14833333333333334</v>
      </c>
      <c r="AO16" s="248">
        <f>IF(ISNUMBER((NºAsuntos!C16+NºAsuntos!E16)/NºAsuntos!G16),(NºAsuntos!C16+NºAsuntos!E16)/NºAsuntos!G16," - ")</f>
        <v>1.3813333333333333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228</v>
      </c>
      <c r="X17" s="229">
        <f>IF(ISNUMBER(Datos!Q17),Datos!Q17," - ")</f>
        <v>0</v>
      </c>
      <c r="Y17" s="337">
        <f t="shared" si="7"/>
        <v>228</v>
      </c>
      <c r="Z17" s="338" t="str">
        <f>IF(ISNUMBER(Datos!CC17),Datos!CC17," - ")</f>
        <v xml:space="preserve"> - </v>
      </c>
      <c r="AA17" s="335">
        <f>IF(ISNUMBER(Datos!L17),Datos!L17,"-")</f>
        <v>145</v>
      </c>
      <c r="AB17" s="337">
        <f>IF(ISNUMBER(Datos!R17),Datos!R17," - ")</f>
        <v>0</v>
      </c>
      <c r="AC17" s="337">
        <f t="shared" si="6"/>
        <v>145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v>
      </c>
      <c r="AJ17" s="234" t="str">
        <f>IF(ISNUMBER(Datos!BW17),Datos!BW17," - ")</f>
        <v xml:space="preserve"> - </v>
      </c>
      <c r="AK17" s="235" t="str">
        <f>IF(ISNUMBER(Datos!BX17),Datos!BX17," - ")</f>
        <v xml:space="preserve"> - </v>
      </c>
      <c r="AL17" s="246">
        <f>IF(ISNUMBER(NºAsuntos!G17/NºAsuntos!E17),NºAsuntos!G17/NºAsuntos!E17," - ")</f>
        <v>1.349112426035503</v>
      </c>
      <c r="AM17" s="263">
        <f>IF(ISNUMBER(((NºAsuntos!I17/NºAsuntos!G17)*11)/factor_trimestre),((NºAsuntos!I17/NºAsuntos!G17)*11)/factor_trimestre," - ")</f>
        <v>6.9956140350877192</v>
      </c>
      <c r="AN17" s="247">
        <f>IF(ISNUMBER('Resol  Asuntos'!D17/NºAsuntos!G17),'Resol  Asuntos'!D17/NºAsuntos!G17," - ")</f>
        <v>4.8245614035087717E-2</v>
      </c>
      <c r="AO17" s="248">
        <f>IF(ISNUMBER((NºAsuntos!C17+NºAsuntos!E17)/NºAsuntos!G17),(NºAsuntos!C17+NºAsuntos!E17)/NºAsuntos!G17," - ")</f>
        <v>1.4956140350877194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950</v>
      </c>
      <c r="G18" s="869">
        <f>SUBTOTAL(9,G15:G17)</f>
        <v>1064</v>
      </c>
      <c r="H18" s="868">
        <f t="shared" ref="H18:O18" si="10">SUBTOTAL(9,H14:H17)</f>
        <v>0</v>
      </c>
      <c r="I18" s="870">
        <f t="shared" si="10"/>
        <v>0</v>
      </c>
      <c r="J18" s="870">
        <f t="shared" si="10"/>
        <v>0</v>
      </c>
      <c r="K18" s="870">
        <f t="shared" si="10"/>
        <v>0</v>
      </c>
      <c r="L18" s="870">
        <f t="shared" si="10"/>
        <v>196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3228</v>
      </c>
      <c r="X18" s="870">
        <f t="shared" si="11"/>
        <v>196</v>
      </c>
      <c r="Y18" s="871">
        <f t="shared" si="11"/>
        <v>3424</v>
      </c>
      <c r="Z18" s="871">
        <f t="shared" si="11"/>
        <v>0</v>
      </c>
      <c r="AA18" s="871">
        <f t="shared" si="11"/>
        <v>1347</v>
      </c>
      <c r="AB18" s="871">
        <f t="shared" si="11"/>
        <v>292</v>
      </c>
      <c r="AC18" s="871">
        <f t="shared" si="11"/>
        <v>1639</v>
      </c>
      <c r="AD18" s="871">
        <f t="shared" si="11"/>
        <v>0</v>
      </c>
      <c r="AE18" s="875">
        <f t="shared" si="11"/>
        <v>0</v>
      </c>
      <c r="AF18" s="868">
        <f t="shared" si="11"/>
        <v>0</v>
      </c>
      <c r="AG18" s="876">
        <f t="shared" si="11"/>
        <v>0</v>
      </c>
      <c r="AH18" s="873">
        <f t="shared" si="11"/>
        <v>0</v>
      </c>
      <c r="AI18" s="868">
        <f t="shared" si="11"/>
        <v>456</v>
      </c>
      <c r="AJ18" s="870">
        <f t="shared" si="11"/>
        <v>0</v>
      </c>
      <c r="AK18" s="873">
        <f t="shared" si="11"/>
        <v>0</v>
      </c>
      <c r="AL18" s="877">
        <f>IF(ISNUMBER(NºAsuntos!G18/NºAsuntos!E18),NºAsuntos!G18/NºAsuntos!E18," - ")</f>
        <v>0.94358374744226836</v>
      </c>
      <c r="AM18" s="877">
        <f>IF(ISNUMBER(((NºAsuntos!I18/NºAsuntos!G18)*11)/factor_trimestre),((NºAsuntos!I18/NºAsuntos!G18)*11)/factor_trimestre," - ")</f>
        <v>4.5901486988847582</v>
      </c>
      <c r="AN18" s="878">
        <f>IF(ISNUMBER('Resol  Asuntos'!D18/NºAsuntos!G18),'Resol  Asuntos'!D18/NºAsuntos!G18," - ")</f>
        <v>0.14126394052044611</v>
      </c>
      <c r="AO18" s="879">
        <f>IF(ISNUMBER((NºAsuntos!C18+NºAsuntos!E18)/NºAsuntos!G18),(NºAsuntos!C18+NºAsuntos!E18)/NºAsuntos!G18," - ")</f>
        <v>1.3894052044609666</v>
      </c>
      <c r="AP18" s="880" t="str">
        <f t="shared" si="2"/>
        <v xml:space="preserve"> - </v>
      </c>
      <c r="AQ18" s="880">
        <f>IF(ISNUMBER((H18-W18+K18)/(F18)),(H18-W18+K18)/(F18)," - ")</f>
        <v>-3.3978947368421051</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979</v>
      </c>
      <c r="G19" s="824">
        <f t="shared" si="13"/>
        <v>1093</v>
      </c>
      <c r="H19" s="823">
        <f t="shared" si="13"/>
        <v>0</v>
      </c>
      <c r="I19" s="825">
        <f t="shared" si="13"/>
        <v>0</v>
      </c>
      <c r="J19" s="825">
        <f t="shared" si="13"/>
        <v>0</v>
      </c>
      <c r="K19" s="884">
        <f t="shared" si="13"/>
        <v>0</v>
      </c>
      <c r="L19" s="825">
        <f t="shared" si="13"/>
        <v>1544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3242</v>
      </c>
      <c r="X19" s="824">
        <f t="shared" si="14"/>
        <v>994</v>
      </c>
      <c r="Y19" s="831">
        <f t="shared" si="14"/>
        <v>4236</v>
      </c>
      <c r="Z19" s="831">
        <f t="shared" si="14"/>
        <v>0</v>
      </c>
      <c r="AA19" s="831">
        <f t="shared" si="14"/>
        <v>1362</v>
      </c>
      <c r="AB19" s="831">
        <f t="shared" si="14"/>
        <v>5740</v>
      </c>
      <c r="AC19" s="831">
        <f t="shared" si="14"/>
        <v>1743</v>
      </c>
      <c r="AD19" s="831">
        <f t="shared" si="14"/>
        <v>0</v>
      </c>
      <c r="AE19" s="833">
        <f t="shared" si="14"/>
        <v>0</v>
      </c>
      <c r="AF19" s="834">
        <f t="shared" si="14"/>
        <v>0</v>
      </c>
      <c r="AG19" s="835">
        <f t="shared" si="14"/>
        <v>0</v>
      </c>
      <c r="AH19" s="833">
        <f t="shared" si="14"/>
        <v>0</v>
      </c>
      <c r="AI19" s="823">
        <f t="shared" si="14"/>
        <v>1502</v>
      </c>
      <c r="AJ19" s="823">
        <f t="shared" si="14"/>
        <v>0</v>
      </c>
      <c r="AK19" s="833">
        <f t="shared" si="14"/>
        <v>0</v>
      </c>
      <c r="AL19" s="887">
        <f>IF(ISNUMBER(NºAsuntos!G19/NºAsuntos!E19),NºAsuntos!G19/NºAsuntos!E19," - ")</f>
        <v>0.96297636275928611</v>
      </c>
      <c r="AM19" s="888">
        <f>IF(ISNUMBER(((NºAsuntos!I19/NºAsuntos!G19)*11)/factor_trimestre),((NºAsuntos!I19/NºAsuntos!G19)*11)/factor_trimestre," - ")</f>
        <v>6.5586725109580462</v>
      </c>
      <c r="AN19" s="888">
        <f>IF(ISNUMBER('Resol  Asuntos'!D19/NºAsuntos!G19),'Resol  Asuntos'!D19/NºAsuntos!G19," - ")</f>
        <v>0.18810269254852849</v>
      </c>
      <c r="AO19" s="889">
        <f>IF(ISNUMBER((NºAsuntos!C19+NºAsuntos!E19)/NºAsuntos!G19),(NºAsuntos!C19+NºAsuntos!E19)/NºAsuntos!G19," - ")</f>
        <v>1.5942391984971822</v>
      </c>
      <c r="AP19" s="890" t="str">
        <f t="shared" si="2"/>
        <v xml:space="preserve"> - </v>
      </c>
      <c r="AQ19" s="891">
        <f>IF(OR(ISNUMBER(FIND("01",Criterios!A8,1)),ISNUMBER(FIND("02",Criterios!A8,1)),ISNUMBER(FIND("03",Criterios!A8,1)),ISNUMBER(FIND("04",Criterios!A8,1))),(I19-W19+K19)/(F19-K19),(H19-W19+K19)/(F19-K19))</f>
        <v>-3.3115423901940755</v>
      </c>
      <c r="AR19" s="892">
        <f>IF(ISNUMBER((Datos!P19-Datos!Q19)/(Datos!R19-Datos!P19+Datos!Q19)),(Datos!P19-Datos!Q19)/(Datos!R19-Datos!P19+Datos!Q19)," - ")</f>
        <v>0.10597302504816955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531.73959792364531</v>
      </c>
      <c r="G21" s="256">
        <f>IF(ISNUMBER(STDEV(G8:G18)),STDEV(G8:G18),"-")</f>
        <v>500.82601769476793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1663.1227254775879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466.97137671025047</v>
      </c>
      <c r="AJ21" s="255">
        <f t="shared" si="18"/>
        <v>0</v>
      </c>
      <c r="AK21" s="257">
        <f t="shared" si="18"/>
        <v>0</v>
      </c>
      <c r="AL21" s="252">
        <f t="shared" si="18"/>
        <v>0.17806302064905943</v>
      </c>
      <c r="AM21" s="253">
        <f t="shared" si="18"/>
        <v>2.7058627165571543</v>
      </c>
      <c r="AN21" s="253">
        <f t="shared" si="18"/>
        <v>8.9802590879132435E-2</v>
      </c>
      <c r="AO21" s="254">
        <f t="shared" si="18"/>
        <v>0.26595470729068055</v>
      </c>
      <c r="AP21" s="294" t="str">
        <f t="shared" si="18"/>
        <v>-</v>
      </c>
      <c r="AQ21" s="295">
        <f t="shared" si="18"/>
        <v>2.0613125158132126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3Ix+nmgPY6a4G6ilgoaiIBxBr3Dfzn3/t72MIDGyIyta5ftIaXHdCYGDSMt01zVfR5xEAZUVgvYmVU/QCzFtQ==" saltValue="WHMLwgQhd5RXoiDn+8/U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SAN VICENTE DEL RASPEIG-SANT VICENT DEL RASPEIG</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-1</v>
      </c>
      <c r="F10" s="351">
        <f>IF(ISNUMBER((Datos!K10-Datos!U10)/Datos!U10),(Datos!K10-Datos!U10)/Datos!U10," - ")</f>
        <v>-0.7407407407407407</v>
      </c>
      <c r="G10" s="352">
        <f>IF(ISNUMBER((Datos!L10-Datos!V10)/Datos!V10),(Datos!L10-Datos!V10)/Datos!V10," - ")</f>
        <v>-0.48275862068965519</v>
      </c>
      <c r="H10" s="233">
        <f>IF(ISNUMBER((Datos!M10-Datos!W10)/Datos!W10),(Datos!M10-Datos!W10)/Datos!W10," - ")</f>
        <v>-1</v>
      </c>
      <c r="I10" s="353">
        <f>IF(ISNUMBER((Tasas!C10-Datos!BE10)/Datos!BE10),(Tasas!C10-Datos!BE10)/Datos!BE10," - ")</f>
        <v>0.99507389162561555</v>
      </c>
      <c r="J10" s="352">
        <f>IF(ISNUMBER((Tasas!D10-Datos!BF10)/Datos!BF10),(Tasas!D10-Datos!BF10)/Datos!BF10," - ")</f>
        <v>-1</v>
      </c>
      <c r="K10" s="354">
        <f>IF(ISNUMBER((Tasas!E10-Datos!BG10)/Datos!BG10),(Tasas!E10-Datos!BG10)/Datos!BG10," - ")</f>
        <v>0.34767641996557674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1.6520894071914479E-2</v>
      </c>
      <c r="I12" s="353">
        <f>IF(ISNUMBER((Tasas!C12-Datos!BE12)/Datos!BE12),(Tasas!C12-Datos!BE12)/Datos!BE12," - ")</f>
        <v>-4.641477787894175E-2</v>
      </c>
      <c r="J12" s="352">
        <f>IF(ISNUMBER((Tasas!D12-Datos!BF12)/Datos!BF12),(Tasas!D12-Datos!BF12)/Datos!BF12," - ")</f>
        <v>-0.35968452289837222</v>
      </c>
      <c r="K12" s="354">
        <f>IF(ISNUMBER((Tasas!E12-Datos!BG12)/Datos!BG12),(Tasas!E12-Datos!BG12)/Datos!BG12," - ")</f>
        <v>-2.2913851019850218E-2</v>
      </c>
      <c r="M12" t="e">
        <f>IF(Monitorios="SI",Datos!CE12,0)</f>
        <v>#REF!</v>
      </c>
      <c r="N12" t="e">
        <f>IF(Monitorios="SI",Datos!CF12,0)</f>
        <v>#REF!</v>
      </c>
      <c r="O12" t="e">
        <f>IF(Monitorios="SI",Datos!CG12,0)</f>
        <v>#REF!</v>
      </c>
      <c r="P12" t="e">
        <f>IF(Monitorios="SI",Datos!CH12,0)</f>
        <v>#REF!</v>
      </c>
      <c r="Q12">
        <f>IF(J_V="SI",0,Datos!AG12)</f>
        <v>175</v>
      </c>
      <c r="R12">
        <f>IF(J_V="SI",0,Datos!AH12)</f>
        <v>430</v>
      </c>
      <c r="S12">
        <f>IF(J_V="SI",0,Datos!AI12)</f>
        <v>429</v>
      </c>
      <c r="T12">
        <f>IF(J_V="SI",0,Datos!AJ12)</f>
        <v>179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-2.859866539561487E-3</v>
      </c>
      <c r="I13" s="360">
        <f>IF(ISNUMBER((Tasas!C13-Datos!BE13)/Datos!BE13),(Tasas!C13-Datos!BE13)/Datos!BE13," - ")</f>
        <v>-4.1747232014119715E-2</v>
      </c>
      <c r="J13" s="358">
        <f>IF(ISNUMBER((Tasas!D13-Datos!BF13)/Datos!BF13),(Tasas!D13-Datos!BF13)/Datos!BF13," - ")</f>
        <v>-0.36214513440795076</v>
      </c>
      <c r="K13" s="361">
        <f>IF(ISNUMBER((Tasas!E13-Datos!BG13)/Datos!BG13),(Tasas!E13-Datos!BG13)/Datos!BG13," - ")</f>
        <v>-2.078947561285337E-2</v>
      </c>
      <c r="M13" t="e">
        <f>IF(Monitorios="SI",Datos!CE13,0)</f>
        <v>#REF!</v>
      </c>
      <c r="N13" t="e">
        <f>IF(Monitorios="SI",Datos!CF13,0)</f>
        <v>#REF!</v>
      </c>
      <c r="O13" t="e">
        <f>IF(Monitorios="SI",Datos!CG13,0)</f>
        <v>#REF!</v>
      </c>
      <c r="P13" t="e">
        <f>IF(Monitorios="SI",Datos!CH13,0)</f>
        <v>#REF!</v>
      </c>
      <c r="Q13">
        <f>IF(J_V="SI",0,Datos!AG13)</f>
        <v>175</v>
      </c>
      <c r="R13">
        <f>IF(J_V="SI",0,Datos!AH13)</f>
        <v>430</v>
      </c>
      <c r="S13">
        <f>IF(J_V="SI",0,Datos!AI13)</f>
        <v>429</v>
      </c>
      <c r="T13">
        <f>IF(J_V="SI",0,Datos!AJ13)</f>
        <v>179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4.8178613396004703E-2</v>
      </c>
      <c r="E16" s="351">
        <f>IF(ISNUMBER(
   IF(D_I="SI",(Datos!J16-Datos!T16)/Datos!T16,(Datos!J16+Datos!AD16-(Datos!T16+Datos!AL16))/(Datos!T16+Datos!AL16))
     ),IF(D_I="SI",(Datos!J16-Datos!T16)/Datos!T16,(Datos!J16+Datos!AD16-(Datos!T16+Datos!AL16))/(Datos!T16+Datos!AL16))," - ")</f>
        <v>2.8788358114520723E-2</v>
      </c>
      <c r="F16" s="351">
        <f>IF(ISNUMBER(
   IF(D_I="SI",(Datos!K16-Datos!U16)/Datos!U16,(Datos!K16+Datos!AE16-(Datos!U16+Datos!AM16))/(Datos!U16+Datos!AM16))
     ),IF(D_I="SI",(Datos!K16-Datos!U16)/Datos!U16,(Datos!K16+Datos!AE16-(Datos!U16+Datos!AM16))/(Datos!U16+Datos!AM16))," - ")</f>
        <v>-2.1207177814029365E-2</v>
      </c>
      <c r="G16" s="352">
        <f>IF(ISNUMBER(
   IF(D_I="SI",(Datos!L16-Datos!V16)/Datos!V16,(Datos!L16+Datos!AF16-(Datos!V16+Datos!AN16))/(Datos!V16+Datos!AN16))
     ),IF(D_I="SI",(Datos!L16-Datos!V16)/Datos!V16,(Datos!L16+Datos!AF16-(Datos!V16+Datos!AN16))/(Datos!V16+Datos!AN16))," - ")</f>
        <v>0.34753363228699552</v>
      </c>
      <c r="H16" s="233">
        <f>IF(ISNUMBER((Datos!M16-Datos!W16)/Datos!W16),(Datos!M16-Datos!W16)/Datos!W16," - ")</f>
        <v>-0.16510318949343339</v>
      </c>
      <c r="I16" s="353">
        <f>IF(ISNUMBER((Tasas!C16-Datos!BE16)/Datos!BE16),(Tasas!C16-Datos!BE16)/Datos!BE16," - ")</f>
        <v>0.37673019431988042</v>
      </c>
      <c r="J16" s="352">
        <f>IF(ISNUMBER((Tasas!D16-Datos!BF16)/Datos!BF16),(Tasas!D16-Datos!BF16)/Datos!BF16," - ")</f>
        <v>-0.14701375859912444</v>
      </c>
      <c r="K16" s="354">
        <f>IF(ISNUMBER((Tasas!E16-Datos!BG16)/Datos!BG16),(Tasas!E16-Datos!BG16)/Datos!BG16," - ")</f>
        <v>5.5280824194084324E-2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1.7751479289940829E-2</v>
      </c>
      <c r="E17" s="351">
        <f>IF(ISNUMBER(
   IF(D_I="SI",(Datos!J17-Datos!T17)/Datos!T17,(Datos!J17+Datos!AD17-(Datos!T17+Datos!AL17))/(Datos!T17+Datos!AL17))
     ),IF(D_I="SI",(Datos!J17-Datos!T17)/Datos!T17,(Datos!J17+Datos!AD17-(Datos!T17+Datos!AL17))/(Datos!T17+Datos!AL17))," - ")</f>
        <v>-0.71691792294807366</v>
      </c>
      <c r="F17" s="351">
        <f>IF(ISNUMBER(
   IF(D_I="SI",(Datos!K17-Datos!U17)/Datos!U17,(Datos!K17+Datos!AE17-(Datos!U17+Datos!AM17))/(Datos!U17+Datos!AM17))
     ),IF(D_I="SI",(Datos!K17-Datos!U17)/Datos!U17,(Datos!K17+Datos!AE17-(Datos!U17+Datos!AM17))/(Datos!U17+Datos!AM17))," - ")</f>
        <v>-0.61616161616161613</v>
      </c>
      <c r="G17" s="352">
        <f>IF(ISNUMBER(
   IF(D_I="SI",(Datos!L17-Datos!V17)/Datos!V17,(Datos!L17+Datos!AF17-(Datos!V17+Datos!AN17))/(Datos!V17+Datos!AN17))
     ),IF(D_I="SI",(Datos!L17-Datos!V17)/Datos!V17,(Datos!L17+Datos!AF17-(Datos!V17+Datos!AN17))/(Datos!V17+Datos!AN17))," - ")</f>
        <v>-0.15697674418604651</v>
      </c>
      <c r="H17" s="233">
        <f>IF(ISNUMBER((Datos!M17-Datos!W17)/Datos!W17),(Datos!M17-Datos!W17)/Datos!W17," - ")</f>
        <v>-0.81034482758620685</v>
      </c>
      <c r="I17" s="353">
        <f>IF(ISNUMBER((Tasas!C17-Datos!BE17)/Datos!BE17),(Tasas!C17-Datos!BE17)/Datos!BE17," - ")</f>
        <v>1.1962974296205628</v>
      </c>
      <c r="J17" s="352">
        <f>IF(ISNUMBER((Tasas!D17-Datos!BF17)/Datos!BF17),(Tasas!D17-Datos!BF17)/Datos!BF17," - ")</f>
        <v>-0.5058983666061706</v>
      </c>
      <c r="K17" s="354">
        <f>IF(ISNUMBER((Tasas!E17-Datos!BG17)/Datos!BG17),(Tasas!E17-Datos!BG17)/Datos!BG17," - ")</f>
        <v>0.15978425175209571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4.3137254901960784E-2</v>
      </c>
      <c r="E18" s="357">
        <f>IF(ISNUMBER(
   IF(D_I="SI",(Datos!J18-Datos!T18)/Datos!T18,(Datos!J18+Datos!AD18-(Datos!T18+Datos!AL18))/(Datos!T18+Datos!AL18))
     ),IF(D_I="SI",(Datos!J18-Datos!T18)/Datos!T18,(Datos!J18+Datos!AD18-(Datos!T18+Datos!AL18))/(Datos!T18+Datos!AL18))," - ")</f>
        <v>-8.9675359233634913E-2</v>
      </c>
      <c r="F18" s="357">
        <f>IF(ISNUMBER(
   IF(D_I="SI",(Datos!K18-Datos!U18)/Datos!U18,(Datos!K18+Datos!AE18-(Datos!U18+Datos!AM18))/(Datos!U18+Datos!AM18))
     ),IF(D_I="SI",(Datos!K18-Datos!U18)/Datos!U18,(Datos!K18+Datos!AE18-(Datos!U18+Datos!AM18))/(Datos!U18+Datos!AM18))," - ")</f>
        <v>-0.11779174637879201</v>
      </c>
      <c r="G18" s="358">
        <f>IF(ISNUMBER(
   IF(D_I="SI",(Datos!L18-Datos!V18)/Datos!V18,(Datos!L18+Datos!AF18-(Datos!V18+Datos!AN18))/(Datos!V18+Datos!AN18))
     ),IF(D_I="SI",(Datos!L18-Datos!V18)/Datos!V18,(Datos!L18+Datos!AF18-(Datos!V18+Datos!AN18))/(Datos!V18+Datos!AN18))," - ")</f>
        <v>0.26597744360902253</v>
      </c>
      <c r="H18" s="359">
        <f>IF(ISNUMBER((Datos!M18-Datos!W18)/Datos!W18),(Datos!M18-Datos!W18)/Datos!W18," - ")</f>
        <v>-0.22842639593908629</v>
      </c>
      <c r="I18" s="360">
        <f>IF(ISNUMBER((Tasas!C18-Datos!BE18)/Datos!BE18),(Tasas!C18-Datos!BE18)/Datos!BE18," - ")</f>
        <v>0.43500974788271779</v>
      </c>
      <c r="J18" s="358">
        <f>IF(ISNUMBER((Tasas!D18-Datos!BF18)/Datos!BF18),(Tasas!D18-Datos!BF18)/Datos!BF18," - ")</f>
        <v>-0.12540650022959007</v>
      </c>
      <c r="K18" s="361">
        <f>IF(ISNUMBER((Tasas!E18-Datos!BG18)/Datos!BG18),(Tasas!E18-Datos!BG18)/Datos!BG18," - ")</f>
        <v>6.4008715597044116E-2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1.9761029411764705E-2</v>
      </c>
      <c r="E19" s="366">
        <f>IF(ISNUMBER(
   IF(J_V="SI",(Datos!J19-Datos!T19)/Datos!T19,(Datos!J19+Datos!Z19-(Datos!T19+Datos!AH19))/(Datos!T19+Datos!AH19))
     ),IF(J_V="SI",(Datos!J19-Datos!T19)/Datos!T19,(Datos!J19+Datos!Z19-(Datos!T19+Datos!AH19))/(Datos!T19+Datos!AH19))," - ")</f>
        <v>-1.2857142857142857E-2</v>
      </c>
      <c r="F19" s="366">
        <f>IF(ISNUMBER(
   IF(J_V="SI",(Datos!K19-Datos!U19)/Datos!U19,(Datos!K19+Datos!AA19-(Datos!U19+Datos!AI19))/(Datos!U19+Datos!AI19))
     ),IF(J_V="SI",(Datos!K19-Datos!U19)/Datos!U19,(Datos!K19+Datos!AA19-(Datos!U19+Datos!AI19))/(Datos!U19+Datos!AI19))," - ")</f>
        <v>-2.1925526702596766E-2</v>
      </c>
      <c r="G19" s="367">
        <f>IF(ISNUMBER(
   IF(J_V="SI",(Datos!L19-Datos!V19)/Datos!V19,(Datos!L19+Datos!AB19-(Datos!V19+Datos!AJ19))/(Datos!V19+Datos!AJ19))
     ),IF(J_V="SI",(Datos!L19-Datos!V19)/Datos!V19,(Datos!L19+Datos!AB19-(Datos!V19+Datos!AJ19))/(Datos!V19+Datos!AJ19))," - ")</f>
        <v>7.2780531771068052E-2</v>
      </c>
      <c r="H19" s="368">
        <f>IF(ISNUMBER((Datos!M19-Datos!W19)/Datos!W19),(Datos!M19-Datos!W19)/Datos!W19," - ")</f>
        <v>-8.4146341463414639E-2</v>
      </c>
      <c r="I19" s="365">
        <f>IF(ISNUMBER((Tasas!C19-Datos!BE19)/Datos!BE19),(Tasas!C19-Datos!BE19)/Datos!BE19," - ")</f>
        <v>9.6829087210895393E-2</v>
      </c>
      <c r="J19" s="366">
        <f>IF(ISNUMBER((Tasas!D19-Datos!BF19)/Datos!BF19),(Tasas!D19-Datos!BF19)/Datos!BF19," - ")</f>
        <v>-0.28373582930681596</v>
      </c>
      <c r="K19" s="367">
        <f>IF(ISNUMBER((Tasas!E19-Datos!BG19)/Datos!BG19),(Tasas!E19-Datos!BG19)/Datos!BG19," - ")</f>
        <v>2.0653138059206055E-2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2.2532901786456828E-2</v>
      </c>
      <c r="E21" s="281">
        <f t="shared" si="1"/>
        <v>0.49419772050310884</v>
      </c>
      <c r="F21" s="281">
        <f t="shared" si="1"/>
        <v>0.35741966996528912</v>
      </c>
      <c r="G21" s="282">
        <f t="shared" si="1"/>
        <v>0.38688899433458979</v>
      </c>
      <c r="H21" s="288">
        <f t="shared" si="1"/>
        <v>0.43286759197749064</v>
      </c>
      <c r="I21" s="280">
        <f t="shared" si="1"/>
        <v>0.51772599210313597</v>
      </c>
      <c r="J21" s="281">
        <f t="shared" si="1"/>
        <v>0.32000150248326881</v>
      </c>
      <c r="K21" s="282">
        <f t="shared" si="1"/>
        <v>0.13990207563974752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HB6NfazQJd6n32gkoxj6aVo2nv4jGYL0VZCyEyw4XS6dTJ+pEY/9U0XJuKSriRLNilnABM6tzqIagJ7OWAvfQ==" saltValue="NS/DQ3bbJfoJDxlMcI7O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